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C-PCuser\Desktop\"/>
    </mc:Choice>
  </mc:AlternateContent>
  <bookViews>
    <workbookView xWindow="0" yWindow="0" windowWidth="7608" windowHeight="4428"/>
  </bookViews>
  <sheets>
    <sheet name="キッズ月間(昼・おやつ)" sheetId="35" r:id="rId1"/>
    <sheet name="11月1日（月）" sheetId="2" r:id="rId2"/>
    <sheet name="11月2日（火）" sheetId="3" r:id="rId3"/>
    <sheet name="11月4日（木）" sheetId="5" r:id="rId4"/>
    <sheet name="11月5日（金）" sheetId="6" r:id="rId5"/>
    <sheet name="11月8日（月）" sheetId="9" r:id="rId6"/>
    <sheet name="11月9日（火）" sheetId="10" r:id="rId7"/>
    <sheet name="11月10日（水）" sheetId="11" r:id="rId8"/>
    <sheet name="11月11日（木）" sheetId="12" r:id="rId9"/>
    <sheet name="11月12日（金）" sheetId="13" r:id="rId10"/>
    <sheet name="11月15日（月）" sheetId="16" r:id="rId11"/>
    <sheet name="11月16日（火）" sheetId="17" r:id="rId12"/>
    <sheet name="11月17日（水）" sheetId="18" r:id="rId13"/>
    <sheet name="11月18日（木）" sheetId="19" r:id="rId14"/>
    <sheet name="11月19日（金）" sheetId="20" r:id="rId15"/>
    <sheet name="11月22日（月）" sheetId="23" r:id="rId16"/>
    <sheet name="11月24日（水）" sheetId="32" r:id="rId17"/>
    <sheet name="11月25日（木）" sheetId="26" r:id="rId18"/>
    <sheet name="11月26日（金）" sheetId="33" r:id="rId19"/>
    <sheet name="11月29日（月）" sheetId="30" r:id="rId20"/>
    <sheet name="11月30日（火）" sheetId="31" r:id="rId21"/>
  </sheets>
  <calcPr calcId="152511"/>
</workbook>
</file>

<file path=xl/calcChain.xml><?xml version="1.0" encoding="utf-8"?>
<calcChain xmlns="http://schemas.openxmlformats.org/spreadsheetml/2006/main">
  <c r="K76" i="35" l="1"/>
  <c r="G76" i="35"/>
  <c r="F76" i="35"/>
  <c r="E76" i="35"/>
  <c r="D76" i="35"/>
  <c r="K75" i="35"/>
  <c r="G75" i="35"/>
  <c r="F75" i="35"/>
  <c r="E75" i="35"/>
  <c r="D75" i="35"/>
  <c r="Z72" i="35"/>
  <c r="K72" i="35"/>
  <c r="Z71" i="35"/>
  <c r="K71" i="35"/>
  <c r="Z70" i="35"/>
  <c r="K70" i="35"/>
  <c r="Z69" i="35"/>
  <c r="K69" i="35"/>
  <c r="Z68" i="35"/>
  <c r="K68" i="35"/>
  <c r="Z67" i="35"/>
  <c r="Z66" i="35"/>
  <c r="Z65" i="35"/>
  <c r="Z64" i="35"/>
  <c r="Z63" i="35"/>
  <c r="K60" i="35"/>
  <c r="K59" i="35"/>
  <c r="K58" i="35"/>
  <c r="K57" i="35"/>
  <c r="K56" i="35"/>
  <c r="Z55" i="35"/>
  <c r="K55" i="35"/>
  <c r="Z54" i="35"/>
  <c r="K54" i="35"/>
  <c r="Z53" i="35"/>
  <c r="K53" i="35"/>
  <c r="Z52" i="35"/>
  <c r="K52" i="35"/>
  <c r="Z51" i="35"/>
  <c r="K51" i="35"/>
  <c r="Z50" i="35"/>
  <c r="K50" i="35"/>
  <c r="Z49" i="35"/>
  <c r="K49" i="35"/>
  <c r="Z48" i="35"/>
  <c r="K48" i="35"/>
  <c r="Z47" i="35"/>
  <c r="K47" i="35"/>
  <c r="Z46" i="35"/>
  <c r="K46" i="35"/>
  <c r="Z45" i="35"/>
  <c r="K45" i="35"/>
  <c r="Z44" i="35"/>
  <c r="K44" i="35"/>
  <c r="Z43" i="35"/>
  <c r="K43" i="35"/>
  <c r="Z42" i="35"/>
  <c r="K42" i="35"/>
  <c r="Z41" i="35"/>
  <c r="K41" i="35"/>
  <c r="K40" i="35"/>
  <c r="K39" i="35"/>
  <c r="Z38" i="35"/>
  <c r="K38" i="35"/>
  <c r="Z37" i="35"/>
  <c r="K37" i="35"/>
  <c r="Z36" i="35"/>
  <c r="K36" i="35"/>
  <c r="Z35" i="35"/>
  <c r="Z34" i="35"/>
  <c r="K28" i="35"/>
  <c r="K27" i="35"/>
  <c r="Z26" i="35"/>
  <c r="K26" i="35"/>
  <c r="Z25" i="35"/>
  <c r="K25" i="35"/>
  <c r="Z24" i="35"/>
  <c r="K24" i="35"/>
  <c r="Z23" i="35"/>
  <c r="K23" i="35"/>
  <c r="Z22" i="35"/>
  <c r="K22" i="35"/>
  <c r="Z21" i="35"/>
  <c r="K21" i="35"/>
  <c r="Z20" i="35"/>
  <c r="K20" i="35"/>
  <c r="Z19" i="35"/>
  <c r="K19" i="35"/>
  <c r="Z18" i="35"/>
  <c r="Z17" i="35"/>
  <c r="Z16" i="35"/>
  <c r="K16" i="35"/>
  <c r="Z15" i="35"/>
  <c r="K15" i="35"/>
  <c r="Z14" i="35"/>
  <c r="K14" i="35"/>
  <c r="Z13" i="35"/>
  <c r="K13" i="35"/>
  <c r="Z12" i="35"/>
  <c r="K12" i="35"/>
  <c r="Z11" i="35"/>
  <c r="K11" i="35"/>
  <c r="Z10" i="35"/>
  <c r="K10" i="35"/>
  <c r="Z9" i="35"/>
  <c r="K9" i="35"/>
  <c r="Z8" i="35"/>
  <c r="K8" i="35"/>
  <c r="Z7" i="35"/>
  <c r="K7" i="35"/>
  <c r="J30" i="33"/>
  <c r="M30" i="33"/>
  <c r="N30" i="33"/>
  <c r="T28" i="33"/>
  <c r="S28" i="33"/>
  <c r="S27" i="33"/>
  <c r="T27" i="33"/>
  <c r="J27" i="33"/>
  <c r="M27" i="33"/>
  <c r="N27" i="33"/>
  <c r="S26" i="33"/>
  <c r="T26" i="33"/>
  <c r="J26" i="33"/>
  <c r="M26" i="33"/>
  <c r="N26" i="33"/>
  <c r="T24" i="33"/>
  <c r="S24" i="33"/>
  <c r="J24" i="33"/>
  <c r="M24" i="33"/>
  <c r="N24" i="33"/>
  <c r="S23" i="33"/>
  <c r="T23" i="33"/>
  <c r="J23" i="33"/>
  <c r="M23" i="33"/>
  <c r="N23" i="33"/>
  <c r="S22" i="33"/>
  <c r="T22" i="33"/>
  <c r="J22" i="33"/>
  <c r="M22" i="33"/>
  <c r="N22" i="33"/>
  <c r="S21" i="33"/>
  <c r="T21" i="33"/>
  <c r="J21" i="33"/>
  <c r="M21" i="33"/>
  <c r="N21" i="33"/>
  <c r="T20" i="33"/>
  <c r="S20" i="33"/>
  <c r="J20" i="33"/>
  <c r="M20" i="33"/>
  <c r="N20" i="33"/>
  <c r="S15" i="33"/>
  <c r="T15" i="33"/>
  <c r="S14" i="33"/>
  <c r="T14" i="33"/>
  <c r="J14" i="33"/>
  <c r="M14" i="33"/>
  <c r="N14" i="33"/>
  <c r="T13" i="33"/>
  <c r="S13" i="33"/>
  <c r="J13" i="33"/>
  <c r="M13" i="33"/>
  <c r="N13" i="33"/>
  <c r="S12" i="33"/>
  <c r="T12" i="33"/>
  <c r="J12" i="33"/>
  <c r="M12" i="33"/>
  <c r="N12" i="33"/>
  <c r="S11" i="33"/>
  <c r="T11" i="33"/>
  <c r="J11" i="33"/>
  <c r="M11" i="33"/>
  <c r="N11" i="33"/>
  <c r="S10" i="33"/>
  <c r="T10" i="33"/>
  <c r="J10" i="33"/>
  <c r="M10" i="33"/>
  <c r="N10" i="33"/>
  <c r="J26" i="32"/>
  <c r="M26" i="32"/>
  <c r="N26" i="32"/>
  <c r="S23" i="32"/>
  <c r="T23" i="32"/>
  <c r="S22" i="32"/>
  <c r="T22" i="32"/>
  <c r="S21" i="32"/>
  <c r="T21" i="32"/>
  <c r="S20" i="32"/>
  <c r="T20" i="32"/>
  <c r="M20" i="32"/>
  <c r="N20" i="32"/>
  <c r="J20" i="32"/>
  <c r="S19" i="32"/>
  <c r="T19" i="32"/>
  <c r="J19" i="32"/>
  <c r="M19" i="32"/>
  <c r="N19" i="32"/>
  <c r="S18" i="32"/>
  <c r="T18" i="32"/>
  <c r="J18" i="32"/>
  <c r="M18" i="32"/>
  <c r="N18" i="32"/>
  <c r="T17" i="32"/>
  <c r="S17" i="32"/>
  <c r="J17" i="32"/>
  <c r="M17" i="32"/>
  <c r="N17" i="32"/>
  <c r="S15" i="32"/>
  <c r="T15" i="32"/>
  <c r="S14" i="32"/>
  <c r="T14" i="32"/>
  <c r="J14" i="32"/>
  <c r="M14" i="32"/>
  <c r="N14" i="32"/>
  <c r="T13" i="32"/>
  <c r="S13" i="32"/>
  <c r="J13" i="32"/>
  <c r="M13" i="32"/>
  <c r="N13" i="32"/>
  <c r="S12" i="32"/>
  <c r="T12" i="32"/>
  <c r="M12" i="32"/>
  <c r="N12" i="32"/>
  <c r="J12" i="32"/>
  <c r="S11" i="32"/>
  <c r="T11" i="32"/>
  <c r="J11" i="32"/>
  <c r="M11" i="32"/>
  <c r="N11" i="32"/>
  <c r="S10" i="32"/>
  <c r="T10" i="32"/>
  <c r="J10" i="32"/>
  <c r="M10" i="32"/>
  <c r="N10" i="32"/>
  <c r="J30" i="31"/>
  <c r="M30" i="31"/>
  <c r="N30" i="31"/>
  <c r="S28" i="31"/>
  <c r="T28" i="31"/>
  <c r="S27" i="31"/>
  <c r="T27" i="31"/>
  <c r="S26" i="31"/>
  <c r="T26" i="31"/>
  <c r="J27" i="31"/>
  <c r="M27" i="31"/>
  <c r="N27" i="31"/>
  <c r="J26" i="31"/>
  <c r="M26" i="31"/>
  <c r="N26" i="31"/>
  <c r="S22" i="31"/>
  <c r="T22" i="31"/>
  <c r="S21" i="31"/>
  <c r="T21" i="31"/>
  <c r="S20" i="31"/>
  <c r="T20" i="31"/>
  <c r="S19" i="31"/>
  <c r="T19" i="31"/>
  <c r="J19" i="31"/>
  <c r="M19" i="31"/>
  <c r="N19" i="31"/>
  <c r="S17" i="31"/>
  <c r="T17" i="31"/>
  <c r="S16" i="31"/>
  <c r="T16" i="31"/>
  <c r="S15" i="31"/>
  <c r="T15" i="31"/>
  <c r="S14" i="31"/>
  <c r="T14" i="31"/>
  <c r="S13" i="31"/>
  <c r="T13" i="31"/>
  <c r="S12" i="31"/>
  <c r="T12" i="31"/>
  <c r="J16" i="31"/>
  <c r="M16" i="31"/>
  <c r="N16" i="31"/>
  <c r="J15" i="31"/>
  <c r="M15" i="31"/>
  <c r="N15" i="31"/>
  <c r="J14" i="31"/>
  <c r="M14" i="31"/>
  <c r="N14" i="31"/>
  <c r="J13" i="31"/>
  <c r="M13" i="31"/>
  <c r="N13" i="31"/>
  <c r="J12" i="31"/>
  <c r="M12" i="31"/>
  <c r="N12" i="31"/>
  <c r="S10" i="31"/>
  <c r="T10" i="31"/>
  <c r="J32" i="30"/>
  <c r="M32" i="30"/>
  <c r="N32" i="30"/>
  <c r="S30" i="30"/>
  <c r="T30" i="30"/>
  <c r="S29" i="30"/>
  <c r="T29" i="30"/>
  <c r="J30" i="30"/>
  <c r="M30" i="30"/>
  <c r="N30" i="30"/>
  <c r="J29" i="30"/>
  <c r="M29" i="30"/>
  <c r="N29" i="30"/>
  <c r="S26" i="30"/>
  <c r="T26" i="30"/>
  <c r="S25" i="30"/>
  <c r="T25" i="30"/>
  <c r="S24" i="30"/>
  <c r="T24" i="30"/>
  <c r="J26" i="30"/>
  <c r="M26" i="30"/>
  <c r="N26" i="30"/>
  <c r="J25" i="30"/>
  <c r="M25" i="30"/>
  <c r="N25" i="30"/>
  <c r="J24" i="30"/>
  <c r="M24" i="30"/>
  <c r="N24" i="30"/>
  <c r="S19" i="30"/>
  <c r="T19" i="30"/>
  <c r="J15" i="30"/>
  <c r="M15" i="30"/>
  <c r="N15" i="30"/>
  <c r="S18" i="30"/>
  <c r="T18" i="30"/>
  <c r="S17" i="30"/>
  <c r="T17" i="30"/>
  <c r="S16" i="30"/>
  <c r="T16" i="30"/>
  <c r="S15" i="30"/>
  <c r="T15" i="30"/>
  <c r="S14" i="30"/>
  <c r="T14" i="30"/>
  <c r="J14" i="30"/>
  <c r="M14" i="30"/>
  <c r="N14" i="30"/>
  <c r="J13" i="30"/>
  <c r="M13" i="30"/>
  <c r="N13" i="30"/>
  <c r="S13" i="30"/>
  <c r="T13" i="30"/>
  <c r="S12" i="30"/>
  <c r="T12" i="30"/>
  <c r="J12" i="30"/>
  <c r="M12" i="30"/>
  <c r="N12" i="30"/>
  <c r="J10" i="30"/>
  <c r="M10" i="30"/>
  <c r="N10" i="30"/>
  <c r="S10" i="30"/>
  <c r="T10" i="30"/>
  <c r="J28" i="26"/>
  <c r="M28" i="26"/>
  <c r="N28" i="26"/>
  <c r="S26" i="26"/>
  <c r="T26" i="26"/>
  <c r="S25" i="26"/>
  <c r="T25" i="26"/>
  <c r="S24" i="26"/>
  <c r="T24" i="26"/>
  <c r="J25" i="26"/>
  <c r="M25" i="26"/>
  <c r="N25" i="26"/>
  <c r="J24" i="26"/>
  <c r="M24" i="26"/>
  <c r="N24" i="26"/>
  <c r="S22" i="26"/>
  <c r="T22" i="26"/>
  <c r="S21" i="26"/>
  <c r="T21" i="26"/>
  <c r="S20" i="26"/>
  <c r="T20" i="26"/>
  <c r="S19" i="26"/>
  <c r="T19" i="26"/>
  <c r="J21" i="26"/>
  <c r="M21" i="26"/>
  <c r="N21" i="26"/>
  <c r="M20" i="26"/>
  <c r="N20" i="26"/>
  <c r="J20" i="26"/>
  <c r="J19" i="26"/>
  <c r="M19" i="26"/>
  <c r="N19" i="26"/>
  <c r="T17" i="26"/>
  <c r="S17" i="26"/>
  <c r="T16" i="26"/>
  <c r="S16" i="26"/>
  <c r="T15" i="26"/>
  <c r="S15" i="26"/>
  <c r="T14" i="26"/>
  <c r="S14" i="26"/>
  <c r="M13" i="26"/>
  <c r="J13" i="26"/>
  <c r="N13" i="26"/>
  <c r="J12" i="26"/>
  <c r="M12" i="26"/>
  <c r="N12" i="26"/>
  <c r="T13" i="26"/>
  <c r="S13" i="26"/>
  <c r="T12" i="26"/>
  <c r="S12" i="26"/>
  <c r="T11" i="26"/>
  <c r="S11" i="26"/>
  <c r="M11" i="26"/>
  <c r="J11" i="26"/>
  <c r="N11" i="26"/>
  <c r="J10" i="26"/>
  <c r="M10" i="26"/>
  <c r="N10" i="26"/>
  <c r="T10" i="26"/>
  <c r="S10" i="26"/>
  <c r="J27" i="23"/>
  <c r="M27" i="23"/>
  <c r="N27" i="23"/>
  <c r="S25" i="23"/>
  <c r="T25" i="23"/>
  <c r="S24" i="23"/>
  <c r="T24" i="23"/>
  <c r="S23" i="23"/>
  <c r="T23" i="23"/>
  <c r="S22" i="23"/>
  <c r="T22" i="23"/>
  <c r="M23" i="23"/>
  <c r="N23" i="23"/>
  <c r="J23" i="23"/>
  <c r="J22" i="23"/>
  <c r="M22" i="23"/>
  <c r="N22" i="23"/>
  <c r="J20" i="23"/>
  <c r="M20" i="23"/>
  <c r="N20" i="23"/>
  <c r="J19" i="23"/>
  <c r="M19" i="23"/>
  <c r="N19" i="23"/>
  <c r="T15" i="23"/>
  <c r="S15" i="23"/>
  <c r="S14" i="23"/>
  <c r="T14" i="23"/>
  <c r="J18" i="23"/>
  <c r="M18" i="23"/>
  <c r="N18" i="23"/>
  <c r="M17" i="23"/>
  <c r="N17" i="23"/>
  <c r="J17" i="23"/>
  <c r="J16" i="23"/>
  <c r="M16" i="23"/>
  <c r="N16" i="23"/>
  <c r="J15" i="23"/>
  <c r="M15" i="23"/>
  <c r="N15" i="23"/>
  <c r="J14" i="23"/>
  <c r="M14" i="23"/>
  <c r="N14" i="23"/>
  <c r="S12" i="23"/>
  <c r="T12" i="23"/>
  <c r="S11" i="23"/>
  <c r="T11" i="23"/>
  <c r="J10" i="23"/>
  <c r="M10" i="23"/>
  <c r="N10" i="23"/>
  <c r="S10" i="23"/>
  <c r="T10" i="23"/>
  <c r="J28" i="20"/>
  <c r="M28" i="20"/>
  <c r="N28" i="20"/>
  <c r="S26" i="20"/>
  <c r="T26" i="20"/>
  <c r="S25" i="20"/>
  <c r="T25" i="20"/>
  <c r="J26" i="20"/>
  <c r="M26" i="20"/>
  <c r="N26" i="20"/>
  <c r="J25" i="20"/>
  <c r="M25" i="20"/>
  <c r="N25" i="20"/>
  <c r="S23" i="20"/>
  <c r="T23" i="20"/>
  <c r="S22" i="20"/>
  <c r="T22" i="20"/>
  <c r="T21" i="20"/>
  <c r="S21" i="20"/>
  <c r="S20" i="20"/>
  <c r="T20" i="20"/>
  <c r="J21" i="20"/>
  <c r="M21" i="20"/>
  <c r="N21" i="20"/>
  <c r="J20" i="20"/>
  <c r="M20" i="20"/>
  <c r="N20" i="20"/>
  <c r="S19" i="20"/>
  <c r="T19" i="20"/>
  <c r="M19" i="20"/>
  <c r="N19" i="20"/>
  <c r="J19" i="20"/>
  <c r="J15" i="20"/>
  <c r="M15" i="20"/>
  <c r="N15" i="20"/>
  <c r="S17" i="20"/>
  <c r="T17" i="20"/>
  <c r="T16" i="20"/>
  <c r="S16" i="20"/>
  <c r="J14" i="20"/>
  <c r="M14" i="20"/>
  <c r="N14" i="20"/>
  <c r="S15" i="20"/>
  <c r="T15" i="20"/>
  <c r="S14" i="20"/>
  <c r="T14" i="20"/>
  <c r="S13" i="20"/>
  <c r="T13" i="20"/>
  <c r="S12" i="20"/>
  <c r="T12" i="20"/>
  <c r="J13" i="20"/>
  <c r="M13" i="20"/>
  <c r="N13" i="20"/>
  <c r="M12" i="20"/>
  <c r="N12" i="20"/>
  <c r="J12" i="20"/>
  <c r="S10" i="20"/>
  <c r="T10" i="20"/>
  <c r="T25" i="19"/>
  <c r="S25" i="19"/>
  <c r="S24" i="19"/>
  <c r="T24" i="19"/>
  <c r="S23" i="19"/>
  <c r="T23" i="19"/>
  <c r="J24" i="19"/>
  <c r="M24" i="19"/>
  <c r="N24" i="19"/>
  <c r="M23" i="19"/>
  <c r="N23" i="19"/>
  <c r="J23" i="19"/>
  <c r="T21" i="19"/>
  <c r="S21" i="19"/>
  <c r="S20" i="19"/>
  <c r="T20" i="19"/>
  <c r="S19" i="19"/>
  <c r="T19" i="19"/>
  <c r="J20" i="19"/>
  <c r="M20" i="19"/>
  <c r="N20" i="19"/>
  <c r="J19" i="19"/>
  <c r="M19" i="19"/>
  <c r="N19" i="19"/>
  <c r="J14" i="19"/>
  <c r="M14" i="19"/>
  <c r="N14" i="19"/>
  <c r="S17" i="19"/>
  <c r="T17" i="19"/>
  <c r="S16" i="19"/>
  <c r="T16" i="19"/>
  <c r="S15" i="19"/>
  <c r="T15" i="19"/>
  <c r="S14" i="19"/>
  <c r="T14" i="19"/>
  <c r="S13" i="19"/>
  <c r="T13" i="19"/>
  <c r="S12" i="19"/>
  <c r="T12" i="19"/>
  <c r="S11" i="19"/>
  <c r="T11" i="19"/>
  <c r="J13" i="19"/>
  <c r="M13" i="19"/>
  <c r="N13" i="19"/>
  <c r="M12" i="19"/>
  <c r="N12" i="19"/>
  <c r="J12" i="19"/>
  <c r="J11" i="19"/>
  <c r="M11" i="19"/>
  <c r="N11" i="19"/>
  <c r="S10" i="19"/>
  <c r="T10" i="19"/>
  <c r="J10" i="19"/>
  <c r="M10" i="19"/>
  <c r="N10" i="19"/>
  <c r="J24" i="18"/>
  <c r="M24" i="18"/>
  <c r="N24" i="18"/>
  <c r="S22" i="18"/>
  <c r="T22" i="18"/>
  <c r="S21" i="18"/>
  <c r="T21" i="18"/>
  <c r="S20" i="18"/>
  <c r="T20" i="18"/>
  <c r="T19" i="18"/>
  <c r="S19" i="18"/>
  <c r="J21" i="18"/>
  <c r="M21" i="18"/>
  <c r="N21" i="18"/>
  <c r="J20" i="18"/>
  <c r="M20" i="18"/>
  <c r="N20" i="18"/>
  <c r="J19" i="18"/>
  <c r="M19" i="18"/>
  <c r="N19" i="18"/>
  <c r="S15" i="18"/>
  <c r="T15" i="18"/>
  <c r="S14" i="18"/>
  <c r="T14" i="18"/>
  <c r="J16" i="18"/>
  <c r="M16" i="18"/>
  <c r="N16" i="18"/>
  <c r="J15" i="18"/>
  <c r="M15" i="18"/>
  <c r="N15" i="18"/>
  <c r="S13" i="18"/>
  <c r="T13" i="18"/>
  <c r="S12" i="18"/>
  <c r="T12" i="18"/>
  <c r="J14" i="18"/>
  <c r="M14" i="18"/>
  <c r="N14" i="18"/>
  <c r="M13" i="18"/>
  <c r="N13" i="18"/>
  <c r="J13" i="18"/>
  <c r="J12" i="18"/>
  <c r="M12" i="18"/>
  <c r="N12" i="18"/>
  <c r="J11" i="18"/>
  <c r="M11" i="18"/>
  <c r="N11" i="18"/>
  <c r="S11" i="18"/>
  <c r="T11" i="18"/>
  <c r="M10" i="18"/>
  <c r="N10" i="18"/>
  <c r="J10" i="18"/>
  <c r="S10" i="18"/>
  <c r="T10" i="18"/>
  <c r="M30" i="17"/>
  <c r="N30" i="17"/>
  <c r="J30" i="17"/>
  <c r="S28" i="17"/>
  <c r="T28" i="17"/>
  <c r="S27" i="17"/>
  <c r="T27" i="17"/>
  <c r="S26" i="17"/>
  <c r="T26" i="17"/>
  <c r="J27" i="17"/>
  <c r="M27" i="17"/>
  <c r="N27" i="17"/>
  <c r="J26" i="17"/>
  <c r="M26" i="17"/>
  <c r="N26" i="17"/>
  <c r="S22" i="17"/>
  <c r="T22" i="17"/>
  <c r="S21" i="17"/>
  <c r="T21" i="17"/>
  <c r="S20" i="17"/>
  <c r="T20" i="17"/>
  <c r="S19" i="17"/>
  <c r="T19" i="17"/>
  <c r="J19" i="17"/>
  <c r="M19" i="17"/>
  <c r="N19" i="17"/>
  <c r="S17" i="17"/>
  <c r="T17" i="17"/>
  <c r="T16" i="17"/>
  <c r="S16" i="17"/>
  <c r="S15" i="17"/>
  <c r="T15" i="17"/>
  <c r="S14" i="17"/>
  <c r="T14" i="17"/>
  <c r="S13" i="17"/>
  <c r="T13" i="17"/>
  <c r="S12" i="17"/>
  <c r="T12" i="17"/>
  <c r="J16" i="17"/>
  <c r="M16" i="17"/>
  <c r="N16" i="17"/>
  <c r="J15" i="17"/>
  <c r="M15" i="17"/>
  <c r="N15" i="17"/>
  <c r="J14" i="17"/>
  <c r="M14" i="17"/>
  <c r="N14" i="17"/>
  <c r="J13" i="17"/>
  <c r="M13" i="17"/>
  <c r="N13" i="17"/>
  <c r="J12" i="17"/>
  <c r="M12" i="17"/>
  <c r="N12" i="17"/>
  <c r="S10" i="17"/>
  <c r="T10" i="17"/>
  <c r="J32" i="16"/>
  <c r="M32" i="16"/>
  <c r="N32" i="16"/>
  <c r="S30" i="16"/>
  <c r="T30" i="16"/>
  <c r="S29" i="16"/>
  <c r="T29" i="16"/>
  <c r="J30" i="16"/>
  <c r="M30" i="16"/>
  <c r="N30" i="16"/>
  <c r="J29" i="16"/>
  <c r="M29" i="16"/>
  <c r="N29" i="16"/>
  <c r="S26" i="16"/>
  <c r="T26" i="16"/>
  <c r="S25" i="16"/>
  <c r="T25" i="16"/>
  <c r="S24" i="16"/>
  <c r="T24" i="16"/>
  <c r="J26" i="16"/>
  <c r="M26" i="16"/>
  <c r="N26" i="16"/>
  <c r="J25" i="16"/>
  <c r="M25" i="16"/>
  <c r="N25" i="16"/>
  <c r="J24" i="16"/>
  <c r="M24" i="16"/>
  <c r="N24" i="16"/>
  <c r="S19" i="16"/>
  <c r="T19" i="16"/>
  <c r="J15" i="16"/>
  <c r="M15" i="16"/>
  <c r="N15" i="16"/>
  <c r="S18" i="16"/>
  <c r="T18" i="16"/>
  <c r="S17" i="16"/>
  <c r="T17" i="16"/>
  <c r="S16" i="16"/>
  <c r="T16" i="16"/>
  <c r="S15" i="16"/>
  <c r="T15" i="16"/>
  <c r="S14" i="16"/>
  <c r="T14" i="16"/>
  <c r="J14" i="16"/>
  <c r="M14" i="16"/>
  <c r="N14" i="16"/>
  <c r="J13" i="16"/>
  <c r="M13" i="16"/>
  <c r="N13" i="16"/>
  <c r="S13" i="16"/>
  <c r="T13" i="16"/>
  <c r="S12" i="16"/>
  <c r="T12" i="16"/>
  <c r="J12" i="16"/>
  <c r="M12" i="16"/>
  <c r="N12" i="16"/>
  <c r="J10" i="16"/>
  <c r="M10" i="16"/>
  <c r="N10" i="16"/>
  <c r="S10" i="16"/>
  <c r="T10" i="16"/>
  <c r="J32" i="13"/>
  <c r="M32" i="13"/>
  <c r="N32" i="13"/>
  <c r="S30" i="13"/>
  <c r="T30" i="13"/>
  <c r="S29" i="13"/>
  <c r="T29" i="13"/>
  <c r="S28" i="13"/>
  <c r="T28" i="13"/>
  <c r="J29" i="13"/>
  <c r="M29" i="13"/>
  <c r="N29" i="13"/>
  <c r="J28" i="13"/>
  <c r="M28" i="13"/>
  <c r="N28" i="13"/>
  <c r="J23" i="13"/>
  <c r="M23" i="13"/>
  <c r="N23" i="13"/>
  <c r="J22" i="13"/>
  <c r="M22" i="13"/>
  <c r="N22" i="13"/>
  <c r="S26" i="13"/>
  <c r="T26" i="13"/>
  <c r="M21" i="13"/>
  <c r="N21" i="13"/>
  <c r="J21" i="13"/>
  <c r="S25" i="13"/>
  <c r="T25" i="13"/>
  <c r="S24" i="13"/>
  <c r="T24" i="13"/>
  <c r="S23" i="13"/>
  <c r="T23" i="13"/>
  <c r="S22" i="13"/>
  <c r="T22" i="13"/>
  <c r="J20" i="13"/>
  <c r="M20" i="13"/>
  <c r="N20" i="13"/>
  <c r="S21" i="13"/>
  <c r="T21" i="13"/>
  <c r="S20" i="13"/>
  <c r="T20" i="13"/>
  <c r="S19" i="13"/>
  <c r="T19" i="13"/>
  <c r="S18" i="13"/>
  <c r="T18" i="13"/>
  <c r="J19" i="13"/>
  <c r="M19" i="13"/>
  <c r="N19" i="13"/>
  <c r="M18" i="13"/>
  <c r="N18" i="13"/>
  <c r="J18" i="13"/>
  <c r="S17" i="13"/>
  <c r="T17" i="13"/>
  <c r="J17" i="13"/>
  <c r="M17" i="13"/>
  <c r="N17" i="13"/>
  <c r="J12" i="13"/>
  <c r="M12" i="13"/>
  <c r="N12" i="13"/>
  <c r="J11" i="13"/>
  <c r="M11" i="13"/>
  <c r="N11" i="13"/>
  <c r="J10" i="13"/>
  <c r="M10" i="13"/>
  <c r="N10" i="13"/>
  <c r="S13" i="13"/>
  <c r="T13" i="13"/>
  <c r="S12" i="13"/>
  <c r="T12" i="13"/>
  <c r="S11" i="13"/>
  <c r="T11" i="13"/>
  <c r="S10" i="13"/>
  <c r="T10" i="13"/>
  <c r="J28" i="12"/>
  <c r="M28" i="12"/>
  <c r="N28" i="12"/>
  <c r="S26" i="12"/>
  <c r="T26" i="12"/>
  <c r="S25" i="12"/>
  <c r="T25" i="12"/>
  <c r="S24" i="12"/>
  <c r="T24" i="12"/>
  <c r="J25" i="12"/>
  <c r="M25" i="12"/>
  <c r="N25" i="12"/>
  <c r="J24" i="12"/>
  <c r="M24" i="12"/>
  <c r="N24" i="12"/>
  <c r="S22" i="12"/>
  <c r="T22" i="12"/>
  <c r="S21" i="12"/>
  <c r="T21" i="12"/>
  <c r="S20" i="12"/>
  <c r="T20" i="12"/>
  <c r="S19" i="12"/>
  <c r="T19" i="12"/>
  <c r="J21" i="12"/>
  <c r="M21" i="12"/>
  <c r="N21" i="12"/>
  <c r="M20" i="12"/>
  <c r="N20" i="12"/>
  <c r="J20" i="12"/>
  <c r="J19" i="12"/>
  <c r="M19" i="12"/>
  <c r="N19" i="12"/>
  <c r="T17" i="12"/>
  <c r="S17" i="12"/>
  <c r="T16" i="12"/>
  <c r="S16" i="12"/>
  <c r="T15" i="12"/>
  <c r="S15" i="12"/>
  <c r="T14" i="12"/>
  <c r="S14" i="12"/>
  <c r="J13" i="12"/>
  <c r="M13" i="12"/>
  <c r="N13" i="12"/>
  <c r="J12" i="12"/>
  <c r="M12" i="12"/>
  <c r="N12" i="12"/>
  <c r="T13" i="12"/>
  <c r="S13" i="12"/>
  <c r="T12" i="12"/>
  <c r="S12" i="12"/>
  <c r="T11" i="12"/>
  <c r="S11" i="12"/>
  <c r="M11" i="12"/>
  <c r="J11" i="12"/>
  <c r="N11" i="12"/>
  <c r="J10" i="12"/>
  <c r="M10" i="12"/>
  <c r="N10" i="12"/>
  <c r="T10" i="12"/>
  <c r="S10" i="12"/>
  <c r="S28" i="11"/>
  <c r="T28" i="11"/>
  <c r="T27" i="11"/>
  <c r="S27" i="11"/>
  <c r="J27" i="11"/>
  <c r="M27" i="11"/>
  <c r="N27" i="11"/>
  <c r="J20" i="11"/>
  <c r="M20" i="11"/>
  <c r="N20" i="11"/>
  <c r="S24" i="11"/>
  <c r="T24" i="11"/>
  <c r="S23" i="11"/>
  <c r="T23" i="11"/>
  <c r="T22" i="11"/>
  <c r="S22" i="11"/>
  <c r="S21" i="11"/>
  <c r="T21" i="11"/>
  <c r="S20" i="11"/>
  <c r="T20" i="11"/>
  <c r="J19" i="11"/>
  <c r="M19" i="11"/>
  <c r="N19" i="11"/>
  <c r="M18" i="11"/>
  <c r="N18" i="11"/>
  <c r="J18" i="11"/>
  <c r="S19" i="11"/>
  <c r="T19" i="11"/>
  <c r="S18" i="11"/>
  <c r="T18" i="11"/>
  <c r="S17" i="11"/>
  <c r="T17" i="11"/>
  <c r="J17" i="11"/>
  <c r="M17" i="11"/>
  <c r="N17" i="11"/>
  <c r="S15" i="11"/>
  <c r="T15" i="11"/>
  <c r="S14" i="11"/>
  <c r="T14" i="11"/>
  <c r="S13" i="11"/>
  <c r="T13" i="11"/>
  <c r="S12" i="11"/>
  <c r="T12" i="11"/>
  <c r="S11" i="11"/>
  <c r="T11" i="11"/>
  <c r="J14" i="11"/>
  <c r="M14" i="11"/>
  <c r="N14" i="11"/>
  <c r="J13" i="11"/>
  <c r="M13" i="11"/>
  <c r="N13" i="11"/>
  <c r="J12" i="11"/>
  <c r="M12" i="11"/>
  <c r="N12" i="11"/>
  <c r="S10" i="11"/>
  <c r="T10" i="11"/>
  <c r="J11" i="11"/>
  <c r="M11" i="11"/>
  <c r="N11" i="11"/>
  <c r="J10" i="11"/>
  <c r="M10" i="11"/>
  <c r="N10" i="11"/>
  <c r="J30" i="10"/>
  <c r="M30" i="10"/>
  <c r="N30" i="10"/>
  <c r="S28" i="10"/>
  <c r="T28" i="10"/>
  <c r="S27" i="10"/>
  <c r="T27" i="10"/>
  <c r="J28" i="10"/>
  <c r="M28" i="10"/>
  <c r="N28" i="10"/>
  <c r="M27" i="10"/>
  <c r="N27" i="10"/>
  <c r="J27" i="10"/>
  <c r="S25" i="10"/>
  <c r="T25" i="10"/>
  <c r="S24" i="10"/>
  <c r="T24" i="10"/>
  <c r="S23" i="10"/>
  <c r="T23" i="10"/>
  <c r="S22" i="10"/>
  <c r="T22" i="10"/>
  <c r="S21" i="10"/>
  <c r="T21" i="10"/>
  <c r="J21" i="10"/>
  <c r="M21" i="10"/>
  <c r="N21" i="10"/>
  <c r="J20" i="10"/>
  <c r="M20" i="10"/>
  <c r="N20" i="10"/>
  <c r="S20" i="10"/>
  <c r="T20" i="10"/>
  <c r="S19" i="10"/>
  <c r="T19" i="10"/>
  <c r="J19" i="10"/>
  <c r="M19" i="10"/>
  <c r="N19" i="10"/>
  <c r="J16" i="10"/>
  <c r="M16" i="10"/>
  <c r="N16" i="10"/>
  <c r="S17" i="10"/>
  <c r="T17" i="10"/>
  <c r="S16" i="10"/>
  <c r="T16" i="10"/>
  <c r="S15" i="10"/>
  <c r="T15" i="10"/>
  <c r="S14" i="10"/>
  <c r="T14" i="10"/>
  <c r="S13" i="10"/>
  <c r="T13" i="10"/>
  <c r="J15" i="10"/>
  <c r="M15" i="10"/>
  <c r="N15" i="10"/>
  <c r="J14" i="10"/>
  <c r="M14" i="10"/>
  <c r="N14" i="10"/>
  <c r="J13" i="10"/>
  <c r="M13" i="10"/>
  <c r="N13" i="10"/>
  <c r="T12" i="10"/>
  <c r="S12" i="10"/>
  <c r="J12" i="10"/>
  <c r="M12" i="10"/>
  <c r="N12" i="10"/>
  <c r="J10" i="10"/>
  <c r="M10" i="10"/>
  <c r="N10" i="10"/>
  <c r="T10" i="10"/>
  <c r="S10" i="10"/>
  <c r="J27" i="9"/>
  <c r="M27" i="9"/>
  <c r="N27" i="9"/>
  <c r="S25" i="9"/>
  <c r="T25" i="9"/>
  <c r="S24" i="9"/>
  <c r="T24" i="9"/>
  <c r="S23" i="9"/>
  <c r="T23" i="9"/>
  <c r="S22" i="9"/>
  <c r="T22" i="9"/>
  <c r="J23" i="9"/>
  <c r="M23" i="9"/>
  <c r="N23" i="9"/>
  <c r="J22" i="9"/>
  <c r="M22" i="9"/>
  <c r="N22" i="9"/>
  <c r="J20" i="9"/>
  <c r="M20" i="9"/>
  <c r="N20" i="9"/>
  <c r="M19" i="9"/>
  <c r="N19" i="9"/>
  <c r="J19" i="9"/>
  <c r="S15" i="9"/>
  <c r="T15" i="9"/>
  <c r="S14" i="9"/>
  <c r="T14" i="9"/>
  <c r="J18" i="9"/>
  <c r="M18" i="9"/>
  <c r="N18" i="9"/>
  <c r="J17" i="9"/>
  <c r="M17" i="9"/>
  <c r="N17" i="9"/>
  <c r="J16" i="9"/>
  <c r="M16" i="9"/>
  <c r="N16" i="9"/>
  <c r="M15" i="9"/>
  <c r="N15" i="9"/>
  <c r="J15" i="9"/>
  <c r="J14" i="9"/>
  <c r="M14" i="9"/>
  <c r="N14" i="9"/>
  <c r="S12" i="9"/>
  <c r="T12" i="9"/>
  <c r="S11" i="9"/>
  <c r="T11" i="9"/>
  <c r="J10" i="9"/>
  <c r="M10" i="9"/>
  <c r="N10" i="9"/>
  <c r="S10" i="9"/>
  <c r="T10" i="9"/>
  <c r="J28" i="6"/>
  <c r="M28" i="6"/>
  <c r="N28" i="6"/>
  <c r="S26" i="6"/>
  <c r="T26" i="6"/>
  <c r="S25" i="6"/>
  <c r="T25" i="6"/>
  <c r="J26" i="6"/>
  <c r="M26" i="6"/>
  <c r="N26" i="6"/>
  <c r="J25" i="6"/>
  <c r="M25" i="6"/>
  <c r="N25" i="6"/>
  <c r="S23" i="6"/>
  <c r="T23" i="6"/>
  <c r="S22" i="6"/>
  <c r="T22" i="6"/>
  <c r="S21" i="6"/>
  <c r="T21" i="6"/>
  <c r="S20" i="6"/>
  <c r="T20" i="6"/>
  <c r="J21" i="6"/>
  <c r="M21" i="6"/>
  <c r="N21" i="6"/>
  <c r="J20" i="6"/>
  <c r="M20" i="6"/>
  <c r="N20" i="6"/>
  <c r="S19" i="6"/>
  <c r="T19" i="6"/>
  <c r="J19" i="6"/>
  <c r="M19" i="6"/>
  <c r="N19" i="6"/>
  <c r="J15" i="6"/>
  <c r="M15" i="6"/>
  <c r="N15" i="6"/>
  <c r="S17" i="6"/>
  <c r="T17" i="6"/>
  <c r="S16" i="6"/>
  <c r="T16" i="6"/>
  <c r="M14" i="6"/>
  <c r="N14" i="6"/>
  <c r="J14" i="6"/>
  <c r="S15" i="6"/>
  <c r="T15" i="6"/>
  <c r="S14" i="6"/>
  <c r="T14" i="6"/>
  <c r="S13" i="6"/>
  <c r="T13" i="6"/>
  <c r="S12" i="6"/>
  <c r="T12" i="6"/>
  <c r="J13" i="6"/>
  <c r="M13" i="6"/>
  <c r="N13" i="6"/>
  <c r="J12" i="6"/>
  <c r="M12" i="6"/>
  <c r="N12" i="6"/>
  <c r="S10" i="6"/>
  <c r="T10" i="6"/>
  <c r="S25" i="5"/>
  <c r="T25" i="5"/>
  <c r="S24" i="5"/>
  <c r="T24" i="5"/>
  <c r="S23" i="5"/>
  <c r="T23" i="5"/>
  <c r="J24" i="5"/>
  <c r="M24" i="5"/>
  <c r="N24" i="5"/>
  <c r="J23" i="5"/>
  <c r="M23" i="5"/>
  <c r="N23" i="5"/>
  <c r="S21" i="5"/>
  <c r="T21" i="5"/>
  <c r="S20" i="5"/>
  <c r="T20" i="5"/>
  <c r="S19" i="5"/>
  <c r="T19" i="5"/>
  <c r="J20" i="5"/>
  <c r="M20" i="5"/>
  <c r="N20" i="5"/>
  <c r="J19" i="5"/>
  <c r="M19" i="5"/>
  <c r="N19" i="5"/>
  <c r="J14" i="5"/>
  <c r="M14" i="5"/>
  <c r="N14" i="5"/>
  <c r="S17" i="5"/>
  <c r="T17" i="5"/>
  <c r="T16" i="5"/>
  <c r="S16" i="5"/>
  <c r="T15" i="5"/>
  <c r="S15" i="5"/>
  <c r="S14" i="5"/>
  <c r="T14" i="5"/>
  <c r="T13" i="5"/>
  <c r="S13" i="5"/>
  <c r="S12" i="5"/>
  <c r="T12" i="5"/>
  <c r="S11" i="5"/>
  <c r="T11" i="5"/>
  <c r="J13" i="5"/>
  <c r="M13" i="5"/>
  <c r="N13" i="5"/>
  <c r="J12" i="5"/>
  <c r="M12" i="5"/>
  <c r="N12" i="5"/>
  <c r="J11" i="5"/>
  <c r="M11" i="5"/>
  <c r="N11" i="5"/>
  <c r="S10" i="5"/>
  <c r="T10" i="5"/>
  <c r="J10" i="5"/>
  <c r="M10" i="5"/>
  <c r="N10" i="5"/>
  <c r="J30" i="3"/>
  <c r="M30" i="3"/>
  <c r="N30" i="3"/>
  <c r="S28" i="3"/>
  <c r="T28" i="3"/>
  <c r="S27" i="3"/>
  <c r="T27" i="3"/>
  <c r="T26" i="3"/>
  <c r="S26" i="3"/>
  <c r="J27" i="3"/>
  <c r="M27" i="3"/>
  <c r="N27" i="3"/>
  <c r="J26" i="3"/>
  <c r="M26" i="3"/>
  <c r="N26" i="3"/>
  <c r="T22" i="3"/>
  <c r="S22" i="3"/>
  <c r="S21" i="3"/>
  <c r="T21" i="3"/>
  <c r="S20" i="3"/>
  <c r="T20" i="3"/>
  <c r="T19" i="3"/>
  <c r="S19" i="3"/>
  <c r="M19" i="3"/>
  <c r="N19" i="3"/>
  <c r="J19" i="3"/>
  <c r="S17" i="3"/>
  <c r="T17" i="3"/>
  <c r="S16" i="3"/>
  <c r="T16" i="3"/>
  <c r="S15" i="3"/>
  <c r="T15" i="3"/>
  <c r="S14" i="3"/>
  <c r="T14" i="3"/>
  <c r="S13" i="3"/>
  <c r="T13" i="3"/>
  <c r="S12" i="3"/>
  <c r="T12" i="3"/>
  <c r="J16" i="3"/>
  <c r="M16" i="3"/>
  <c r="N16" i="3"/>
  <c r="J15" i="3"/>
  <c r="M15" i="3"/>
  <c r="N15" i="3"/>
  <c r="J14" i="3"/>
  <c r="M14" i="3"/>
  <c r="N14" i="3"/>
  <c r="J13" i="3"/>
  <c r="M13" i="3"/>
  <c r="N13" i="3"/>
  <c r="J12" i="3"/>
  <c r="M12" i="3"/>
  <c r="N12" i="3"/>
  <c r="S10" i="3"/>
  <c r="T10" i="3"/>
  <c r="J32" i="2"/>
  <c r="M32" i="2"/>
  <c r="N32" i="2"/>
  <c r="S30" i="2"/>
  <c r="T30" i="2"/>
  <c r="S29" i="2"/>
  <c r="T29" i="2"/>
  <c r="J30" i="2"/>
  <c r="M30" i="2"/>
  <c r="N30" i="2"/>
  <c r="J29" i="2"/>
  <c r="M29" i="2"/>
  <c r="N29" i="2"/>
  <c r="S26" i="2"/>
  <c r="T26" i="2"/>
  <c r="S25" i="2"/>
  <c r="T25" i="2"/>
  <c r="S24" i="2"/>
  <c r="T24" i="2"/>
  <c r="J26" i="2"/>
  <c r="M26" i="2"/>
  <c r="N26" i="2"/>
  <c r="J25" i="2"/>
  <c r="M25" i="2"/>
  <c r="N25" i="2"/>
  <c r="J24" i="2"/>
  <c r="M24" i="2"/>
  <c r="N24" i="2"/>
  <c r="S19" i="2"/>
  <c r="T19" i="2"/>
  <c r="M15" i="2"/>
  <c r="N15" i="2"/>
  <c r="J15" i="2"/>
  <c r="S18" i="2"/>
  <c r="T18" i="2"/>
  <c r="S17" i="2"/>
  <c r="T17" i="2"/>
  <c r="S16" i="2"/>
  <c r="T16" i="2"/>
  <c r="S15" i="2"/>
  <c r="T15" i="2"/>
  <c r="S14" i="2"/>
  <c r="T14" i="2"/>
  <c r="J14" i="2"/>
  <c r="M14" i="2"/>
  <c r="N14" i="2"/>
  <c r="J13" i="2"/>
  <c r="M13" i="2"/>
  <c r="N13" i="2"/>
  <c r="S13" i="2"/>
  <c r="T13" i="2"/>
  <c r="S12" i="2"/>
  <c r="T12" i="2"/>
  <c r="J12" i="2"/>
  <c r="M12" i="2"/>
  <c r="N12" i="2"/>
  <c r="J10" i="2"/>
  <c r="M10" i="2"/>
  <c r="N10" i="2"/>
  <c r="S10" i="2"/>
  <c r="T10" i="2"/>
</calcChain>
</file>

<file path=xl/sharedStrings.xml><?xml version="1.0" encoding="utf-8"?>
<sst xmlns="http://schemas.openxmlformats.org/spreadsheetml/2006/main" count="2855" uniqueCount="459">
  <si>
    <t>予　　定　　献　　立　　表　</t>
    <rPh sb="0" eb="1">
      <t>ヨ</t>
    </rPh>
    <rPh sb="3" eb="4">
      <t>サダム</t>
    </rPh>
    <rPh sb="6" eb="7">
      <t>ケン</t>
    </rPh>
    <rPh sb="9" eb="10">
      <t>リツ</t>
    </rPh>
    <rPh sb="12" eb="13">
      <t>ヒョウ</t>
    </rPh>
    <phoneticPr fontId="3"/>
  </si>
  <si>
    <t>&lt;食数&gt;</t>
    <rPh sb="1" eb="2">
      <t>ショク</t>
    </rPh>
    <rPh sb="2" eb="3">
      <t>スウ</t>
    </rPh>
    <phoneticPr fontId="3"/>
  </si>
  <si>
    <t>昼</t>
    <rPh sb="0" eb="1">
      <t>ヒル</t>
    </rPh>
    <phoneticPr fontId="3"/>
  </si>
  <si>
    <t>おやつ</t>
    <phoneticPr fontId="3"/>
  </si>
  <si>
    <t>夕</t>
    <rPh sb="0" eb="1">
      <t>ユウ</t>
    </rPh>
    <phoneticPr fontId="3"/>
  </si>
  <si>
    <t>1‐2歳児</t>
    <rPh sb="3" eb="4">
      <t>サイ</t>
    </rPh>
    <rPh sb="4" eb="5">
      <t>ジ</t>
    </rPh>
    <phoneticPr fontId="3"/>
  </si>
  <si>
    <t>3‐5歳児</t>
    <rPh sb="3" eb="5">
      <t>サイジ</t>
    </rPh>
    <phoneticPr fontId="3"/>
  </si>
  <si>
    <t>職員</t>
    <rPh sb="0" eb="2">
      <t>ショクイン</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</si>
  <si>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</si>
  <si>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</si>
  <si>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</si>
  <si>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</si>
  <si>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</si>
  <si>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</si>
  <si>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</si>
  <si>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総使用量</t>
    <rPh sb="0" eb="1">
      <t>ソウ</t>
    </rPh>
    <rPh sb="1" eb="4">
      <t>シヨウリョウ</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</si>
  <si>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</si>
  <si>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</si>
  <si>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</si>
  <si>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</si>
  <si>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</si>
  <si>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使用量総量</t>
    <rPh sb="0" eb="3">
      <t>シヨウリョウ</t>
    </rPh>
    <rPh sb="3" eb="5">
      <t>ソウリョウ</t>
    </rPh>
    <phoneticPr fontId="3"/>
  </si>
  <si>
    <t>キッズ</t>
    <phoneticPr fontId="3"/>
  </si>
  <si>
    <t>10月29日(金)配達/11月1日(月)食</t>
    <phoneticPr fontId="3"/>
  </si>
  <si>
    <t>鉄分強化！ふりかけごはん</t>
  </si>
  <si>
    <t>ご飯</t>
  </si>
  <si>
    <t>鉄ふりかけ　大豆</t>
  </si>
  <si>
    <t>小麦</t>
  </si>
  <si>
    <t>小麦※18</t>
    <phoneticPr fontId="18"/>
  </si>
  <si>
    <t>Ｐ</t>
  </si>
  <si>
    <t>②熱した油で玉ねぎを炒めて、塩・こしょうで調味します。_x000D_</t>
  </si>
  <si>
    <t>④ホワイトソースに②・ほうれん草を加えて混ぜます。_x000D_</t>
  </si>
  <si>
    <t>※加熱調理する際は中心部75℃で1分以上加熱したことを確認して下さい。</t>
  </si>
  <si>
    <t>骨抜き鮭３０</t>
  </si>
  <si>
    <t>・</t>
  </si>
  <si>
    <t>切</t>
  </si>
  <si>
    <t>精製塩</t>
  </si>
  <si>
    <t>油</t>
  </si>
  <si>
    <t>玉ねぎ</t>
  </si>
  <si>
    <t>g</t>
  </si>
  <si>
    <t>冷凍カットほうれん草(ＩＱＦ)Ｐ</t>
  </si>
  <si>
    <t>こしょう</t>
  </si>
  <si>
    <t>バター</t>
  </si>
  <si>
    <t>乳</t>
  </si>
  <si>
    <t>小麦粉</t>
  </si>
  <si>
    <t>牛乳</t>
  </si>
  <si>
    <t>cc</t>
  </si>
  <si>
    <t>パン粉</t>
  </si>
  <si>
    <t>白菜とひじきのマヨサラダ</t>
  </si>
  <si>
    <t>①戻したひじきは、やわらかくなるまで茹でて冷まします。_x000D_</t>
  </si>
  <si>
    <t>②食べやすい大きさに切った野菜は茹で冷まします。_x000D_</t>
  </si>
  <si>
    <t>③煮立て冷ました調味料で、①・②を和えて下さい。_x000D_</t>
  </si>
  <si>
    <t>ひじきＰ</t>
  </si>
  <si>
    <t>白菜</t>
  </si>
  <si>
    <t>人参</t>
  </si>
  <si>
    <t>マヨネーズ</t>
  </si>
  <si>
    <t>卵・小麦</t>
  </si>
  <si>
    <t>上白糖</t>
  </si>
  <si>
    <t>醤油</t>
  </si>
  <si>
    <t>みそ汁</t>
  </si>
  <si>
    <t>冷凍カットインゲンＰ</t>
  </si>
  <si>
    <t>長ねぎ</t>
  </si>
  <si>
    <t>出し汁</t>
  </si>
  <si>
    <t>味噌</t>
  </si>
  <si>
    <t>フルーツ（オレンジ）</t>
  </si>
  <si>
    <t>※原料のまま流水できれいに洗って下さい。</t>
  </si>
  <si>
    <t>ネーブル</t>
  </si>
  <si>
    <t>ヶ</t>
  </si>
  <si>
    <t>昼</t>
  </si>
  <si>
    <t>※加熱調理する際は中心部75℃で1分以上加熱したことを確認して下さい。_x000D_</t>
  </si>
  <si>
    <t>玉子</t>
  </si>
  <si>
    <t>卵</t>
  </si>
  <si>
    <t>ケチャップ</t>
  </si>
  <si>
    <t>ウスターソース</t>
  </si>
  <si>
    <t>水</t>
  </si>
  <si>
    <t>酢</t>
  </si>
  <si>
    <t>かぶ</t>
  </si>
  <si>
    <t>※18　本製品で使用している海苔は、えび・かにの生息域で採取しています。</t>
  </si>
  <si>
    <t>11月1日(月)配達/11月2日(火)食</t>
    <phoneticPr fontId="3"/>
  </si>
  <si>
    <t>豆腐の肉野菜あんかけ</t>
  </si>
  <si>
    <t>①豆腐は食べやすい大きさに切って茹でます。肉・野菜は食べやすい大きさに切ります。_x000D_</t>
  </si>
  <si>
    <t>②鍋にごま油を熱し、肉・野菜を炒め合わせて、出し汁・砂糖・醤油・みりんを加えて煮ます。_x000D_</t>
  </si>
  <si>
    <t>③水溶き片栗粉でとろみをつけて豆腐にかけ、茹でた枝豆を散らして下さい。_x000D_</t>
  </si>
  <si>
    <t>※とろみをみて水溶き片栗粉の量は調節してください。_x000D_</t>
  </si>
  <si>
    <t>※誤嚥防止のために豆は軽く潰して下さい。_x000D_</t>
  </si>
  <si>
    <t>充てん豆腐</t>
  </si>
  <si>
    <t>丁</t>
  </si>
  <si>
    <t>鶏もも小間(加熱用)</t>
  </si>
  <si>
    <t>タイ</t>
  </si>
  <si>
    <t>冷凍むき枝豆Ｐ</t>
  </si>
  <si>
    <t>ごま油</t>
  </si>
  <si>
    <t>みりん風調味料</t>
  </si>
  <si>
    <t>片栗粉</t>
  </si>
  <si>
    <t>さつま芋の塩バター煮</t>
  </si>
  <si>
    <t>①芋は食べやすく角切りにし、水にさらします。_x000D_</t>
  </si>
  <si>
    <t>②①を水（材料の半分ぐらいの高さ）・塩・砂糖で煮ます。_x000D_</t>
  </si>
  <si>
    <t>※水分をとばすのは、こふき芋を作る要領です。_x000D_</t>
  </si>
  <si>
    <t>さつま芋</t>
  </si>
  <si>
    <t>すまし汁</t>
  </si>
  <si>
    <t>水菜</t>
  </si>
  <si>
    <t>カットワカメ</t>
  </si>
  <si>
    <t>フルーツ（りんご）</t>
  </si>
  <si>
    <t>りんご</t>
  </si>
  <si>
    <t>中国</t>
  </si>
  <si>
    <t>枚</t>
  </si>
  <si>
    <t>しめじ</t>
  </si>
  <si>
    <t>えのき茸</t>
  </si>
  <si>
    <t>かぼちゃ</t>
  </si>
  <si>
    <t>豚もも小間</t>
  </si>
  <si>
    <t>酒</t>
  </si>
  <si>
    <t>いり胡麻　白</t>
  </si>
  <si>
    <t>大豆入りカレーライス</t>
  </si>
  <si>
    <t>①材料を食べやすい大きさに切って、芋は水にさらします。肉は酒をふります。_x000D_</t>
  </si>
  <si>
    <t>②熱した油で材料を炒めて、水・牛乳を加えて煮ます。_x000D_</t>
  </si>
  <si>
    <t>③材料が柔らかくなったらルーを加えて煮込み、砂糖・ケチャップで味を調えて下さい。_x000D_</t>
  </si>
  <si>
    <t>※水の量は調節して下さい。_x000D_</t>
  </si>
  <si>
    <t>じゃが芋</t>
  </si>
  <si>
    <t>冷凍国産大豆Ｐ</t>
  </si>
  <si>
    <t>とろけるカレー　甘口</t>
  </si>
  <si>
    <t>キャベツともやしのサラダ</t>
  </si>
  <si>
    <t>①食べやすい大きさに切った野菜は茹で冷まします。_x000D_</t>
  </si>
  <si>
    <t>②①を煮たて冷ました調味料で和えて下さい。_x000D_</t>
  </si>
  <si>
    <t>キャベツ</t>
  </si>
  <si>
    <t>もやし</t>
  </si>
  <si>
    <t>きゅうり</t>
  </si>
  <si>
    <t>フルーツ（柿）</t>
  </si>
  <si>
    <t>柿</t>
  </si>
  <si>
    <t>焼ふ</t>
  </si>
  <si>
    <t>フルーツ（バナナ）</t>
  </si>
  <si>
    <t>バナナ</t>
  </si>
  <si>
    <t>本</t>
  </si>
  <si>
    <t>刻みのり</t>
  </si>
  <si>
    <t>※18</t>
  </si>
  <si>
    <t>②調味料を煮立て冷まし、①を和えて下さい。_x000D_</t>
  </si>
  <si>
    <t>チンゲン菜</t>
  </si>
  <si>
    <t>ツナフレーク缶</t>
  </si>
  <si>
    <t>大根</t>
  </si>
  <si>
    <t>冷凍カット油揚げ</t>
  </si>
  <si>
    <t>11月2日(火)配達/11月4日(木)食</t>
    <phoneticPr fontId="3"/>
  </si>
  <si>
    <t>スパゲッティミートソース</t>
  </si>
  <si>
    <t>①スパゲッティはたっぷりのお湯で8～9分茹でてバターをからめます。_x000D_</t>
  </si>
  <si>
    <t>②玉ねぎ・人参はみじん切りにします。_x000D_</t>
  </si>
  <si>
    <t>④①に③をかけ、茹でたグリンピースを散らして下さい。_x000D_</t>
  </si>
  <si>
    <t>スパゲッティ</t>
  </si>
  <si>
    <t>豚挽肉</t>
  </si>
  <si>
    <t>冷凍グリンピースＰ</t>
  </si>
  <si>
    <t>白菜の玉子サラダ</t>
  </si>
  <si>
    <t>①野菜は食べやすい大きさに切って茹で冷まします。玉子は茹でて食べやすい大きさに切って冷まします。_x000D_</t>
  </si>
  <si>
    <t>スープ</t>
  </si>
  <si>
    <t>コンソメ</t>
  </si>
  <si>
    <t>乳・小麦</t>
  </si>
  <si>
    <t>すり胡麻　白</t>
  </si>
  <si>
    <t>ヨーグルト</t>
  </si>
  <si>
    <t>①砂糖・水を火にかけてシロップを作り冷まします。_x000D_</t>
  </si>
  <si>
    <t>②①とヨーグルトを合わせてください。_x000D_</t>
  </si>
  <si>
    <t>※甘さは砂糖で調節して下さい。_x000D_</t>
  </si>
  <si>
    <t>ﾌﾟﾚｰﾝﾖｰｸﾞﾙﾄ</t>
  </si>
  <si>
    <t>11月4日(木)配達/11月5日(金)食</t>
    <phoneticPr fontId="3"/>
  </si>
  <si>
    <t>カラスカレイの竜田揚げ</t>
  </si>
  <si>
    <t>①魚は食べやすい大きさに切り、水けをふきとって生姜汁・醤油・みりんで下味をつけます。_x000D_</t>
  </si>
  <si>
    <t>②①に片栗粉をまぶして揚げます。_x000D_</t>
  </si>
  <si>
    <t>骨抜きカラスカレイ３０</t>
  </si>
  <si>
    <t>生姜</t>
  </si>
  <si>
    <t>パセリ</t>
  </si>
  <si>
    <t>豚肉とじゃが芋の煮物</t>
  </si>
  <si>
    <t>①肉・野菜は食べやすい大きさに切り、肉は酒をふり、芋は水にさらします。_x000D_</t>
  </si>
  <si>
    <t>②熱した油で材料を炒め、調味料を加えて煮て下さい。_x000D_</t>
  </si>
  <si>
    <t>※蓋をして蒸し煮にすると火が通りやすくなります。_x000D_</t>
  </si>
  <si>
    <t>鉄ふりかけ　穀物</t>
  </si>
  <si>
    <t>小松菜</t>
  </si>
  <si>
    <t>ごぼう</t>
  </si>
  <si>
    <t>②調味料・ごまを煮立て冷まし、①を和えて下さい。_x000D_</t>
  </si>
  <si>
    <t>フルーツ(りんご)</t>
  </si>
  <si>
    <t>トマト</t>
  </si>
  <si>
    <t>※60　本工場では小麦・乳を使用しております。</t>
  </si>
  <si>
    <t>11月5日(金)配達/11月8日(月)食</t>
    <phoneticPr fontId="3"/>
  </si>
  <si>
    <t>コーンピラフ</t>
  </si>
  <si>
    <t>①研いだ米に調味料・水（通常の水加減）を加えて軽く混ぜます。_x000D_</t>
  </si>
  <si>
    <t>②上にコーンを広げてのせ、炊飯して下さい。_x000D_</t>
  </si>
  <si>
    <t>冷凍カーネルコーンＰ</t>
  </si>
  <si>
    <t>①材料は食べやすい大きさに切り、芋は水にさらします。_x000D_</t>
  </si>
  <si>
    <t>②ブロッコリー以外の材料を炒め合わせて、水を加えて煮、やわらかくなったらブロッコリーを加えます。_x000D_</t>
  </si>
  <si>
    <t>③いったん火を止めてルーを溶かし、再び火にかけてコトコト煮込みます。最後に牛乳を加えて煮て下さい。_x000D_</t>
  </si>
  <si>
    <t>冷凍ブロッコリー</t>
  </si>
  <si>
    <t>ハウス　クリームシチューミクス</t>
  </si>
  <si>
    <t>ほうれん草とトマトのサラダ</t>
  </si>
  <si>
    <t>①トマトは茹でて食べやすい大きさに切って冷まし、ほうれん草は茹で冷まします。_x000D_</t>
  </si>
  <si>
    <t>②調味料を煮立て冷まし、①を加え和えて下さい。_x000D_</t>
  </si>
  <si>
    <t>11月8日(月)配達/11月9日(火)食</t>
    <phoneticPr fontId="3"/>
  </si>
  <si>
    <t>助宗タラと野菜の甘辛焼き</t>
  </si>
  <si>
    <t>②魚・かぼちゃ・れんこんを多めの油で焼き、最後に食べやすく切ったピーマンを加えて炒めます。_x000D_</t>
  </si>
  <si>
    <t>③②に調味料・ごまを加えて全体に絡めてください。_x000D_</t>
  </si>
  <si>
    <t>骨抜き助宗タラ３０</t>
  </si>
  <si>
    <t>れんこん</t>
  </si>
  <si>
    <t>ピーマン</t>
  </si>
  <si>
    <t>②調味料を煮立てて冷まし、①にかけて下さい。_x000D_</t>
  </si>
  <si>
    <t>11月9日(火)配達/11月10日(水)食</t>
    <phoneticPr fontId="3"/>
  </si>
  <si>
    <t>肉うどん</t>
  </si>
  <si>
    <t>①麺は9分程茹でて流水で洗います。_x000D_</t>
  </si>
  <si>
    <t>②材料は食べやすい大きさに切り、肉は酒をふります。_x000D_</t>
  </si>
  <si>
    <t>③熱した油で肉・野菜を炒めます。だし汁を加えて煮、具材に火が通ったら調味料を加えます。_x000D_</t>
  </si>
  <si>
    <t>④麺を器に盛って③をかけて下さい。_x000D_</t>
  </si>
  <si>
    <t>（干）うどん</t>
  </si>
  <si>
    <t>厚揚げのきのこあんかけ</t>
  </si>
  <si>
    <t>①厚揚げは油抜きして水気をきり、食べやすい大きさに切ります。_x000D_</t>
  </si>
  <si>
    <t>②①を出し汁・砂糖・醤油で煮て味をしみ込ませます。_x000D_</t>
  </si>
  <si>
    <t>③玉ねぎは薄切りにし、きのこは石づきを取って食べやすい大きさに切りほぐします。_x000D_</t>
  </si>
  <si>
    <t>⑤茹でたグリンピースを散らして下さい。_x000D_</t>
  </si>
  <si>
    <t>厚揚げ</t>
  </si>
  <si>
    <t>①野菜は食べやすい大きさに切り、茹で冷まします。_x000D_</t>
  </si>
  <si>
    <t>11月10日(水)配達/11月11日(木)食</t>
    <phoneticPr fontId="3"/>
  </si>
  <si>
    <t>①肉は食べやすい大きさに切って、野菜はみじん切りします。_x000D_</t>
  </si>
  <si>
    <t>②肉・野菜の順にバターで炒め合わせて、塩・ケチャップを加えます。_x000D_</t>
  </si>
  <si>
    <t>③炊き上がったご飯に②を混ぜ込みます。_x000D_</t>
  </si>
  <si>
    <t>④玉子は塩・こしょうで調味して炒り玉子にします。_x000D_</t>
  </si>
  <si>
    <t>⑤器に③のごはんを盛り、④を添えてケチャップをかけて下さい。_x000D_</t>
  </si>
  <si>
    <t>※玉子は薄焼き玉子にして、覆いかぶせてオムライスにしてもよいでしょう。_x000D_</t>
  </si>
  <si>
    <t>白菜と人参のごまサラダ</t>
  </si>
  <si>
    <t>11月11日(木)配達/11月12日(金)食</t>
    <phoneticPr fontId="3"/>
  </si>
  <si>
    <t>●花ちらし寿司</t>
  </si>
  <si>
    <t>①砂糖・塩・酢を煮立たせて、炊き上がったご飯に混ぜます。_x000D_</t>
  </si>
  <si>
    <t>②汁気をきったツナを①に混ぜます。_x000D_</t>
  </si>
  <si>
    <t>③輪切りにしたきゅうり・コーンは茹で冷まします。_x000D_</t>
  </si>
  <si>
    <t>④ご飯を花の形に盛り付け、上に③を彩りよく盛り付けて下さい。_x000D_</t>
  </si>
  <si>
    <t>※写真を参考に盛り付けて下さい。_x000D_</t>
  </si>
  <si>
    <t>●にっこりハンバーグ</t>
  </si>
  <si>
    <t>①玉ねぎはみじん切りにして炒め、冷まします。_x000D_</t>
  </si>
  <si>
    <t>※写真を参考に盛りつけて下さい。_x000D_</t>
  </si>
  <si>
    <t>木綿豆腐</t>
  </si>
  <si>
    <t>高野豆腐４個入</t>
  </si>
  <si>
    <t>11月12日(金)配達/11月15日(月)食</t>
    <phoneticPr fontId="3"/>
  </si>
  <si>
    <t>11月15日(月)配達/11月16日(火)食</t>
    <phoneticPr fontId="3"/>
  </si>
  <si>
    <t>11月16日(火)配達/11月17日(水)食</t>
    <phoneticPr fontId="3"/>
  </si>
  <si>
    <t>11月17日(水)配達/11月18日(木)食</t>
    <phoneticPr fontId="3"/>
  </si>
  <si>
    <t>11月18日(木)配達/11月19日(金)食</t>
    <phoneticPr fontId="3"/>
  </si>
  <si>
    <t>11月19日(金)配達/11月22日(月)食</t>
    <phoneticPr fontId="3"/>
  </si>
  <si>
    <t>11月22日(月)配達/11月24日(水)食</t>
    <phoneticPr fontId="3"/>
  </si>
  <si>
    <t>①高野豆腐はお湯で戻して絞り、食べやすい大きさに切って小麦粉をまぶして揚げます。_x000D_</t>
  </si>
  <si>
    <t>②玉ねぎは薄切りにし、きのこは石づきを取って食べやすい大きさに切りほぐします。_x000D_</t>
  </si>
  <si>
    <t>11月24日(水)配達/11月25日(木)食</t>
    <phoneticPr fontId="3"/>
  </si>
  <si>
    <t>11月25日(木)配達/11月26日(金)食</t>
    <phoneticPr fontId="3"/>
  </si>
  <si>
    <t>●こぎつねご飯</t>
  </si>
  <si>
    <t>冷蔵イシイミートボール</t>
  </si>
  <si>
    <t>お豆腐ハンバーグ</t>
  </si>
  <si>
    <t>11月26日(金)配達/11月29日(月)食</t>
    <phoneticPr fontId="3"/>
  </si>
  <si>
    <t>11月29日(月)配達/11月30日(火)食</t>
    <phoneticPr fontId="3"/>
  </si>
  <si>
    <t xml:space="preserve">①魚は食べやすい大きさに切って水気をよくとって塩をふり、グリル等で焼きます。
</t>
    <phoneticPr fontId="18"/>
  </si>
  <si>
    <t>玉ねぎは薄切りにします。食べやすい大きさに切ったほうれん草は茹でて水気を絞ります。</t>
  </si>
  <si>
    <t>③バターを溶かし、小麦粉をよく炒めます。50～60℃に温めた牛乳を少量ずつ加えて注ぎのばし、</t>
    <phoneticPr fontId="18"/>
  </si>
  <si>
    <t>ホワイトソースを作ります。</t>
  </si>
  <si>
    <t xml:space="preserve">※オーブンで焼かない場合は、魚に④をかけて、フライパンで炒ったパン粉（きつね色になるまで）をふって
</t>
    <phoneticPr fontId="18"/>
  </si>
  <si>
    <t>提供してもよいでしょう。</t>
  </si>
  <si>
    <t xml:space="preserve">⑤天板に魚を並べて④をかけ、パン粉をかけて、強火のオーブンで5分程度（焦げ目がつくぐらいまで）
</t>
    <phoneticPr fontId="18"/>
  </si>
  <si>
    <t>焼いて下さい。</t>
  </si>
  <si>
    <t>鮭とほうれん草の</t>
    <phoneticPr fontId="18"/>
  </si>
  <si>
    <t>グラタン風</t>
  </si>
  <si>
    <t xml:space="preserve">③やわらかくなり水分が少なくなってきたら、バターを加えてフタをしてゆすりながら軽く水分を
</t>
    <phoneticPr fontId="18"/>
  </si>
  <si>
    <t>とばして下さい。</t>
  </si>
  <si>
    <t xml:space="preserve">※芋をやわらかくなるまで電子レンジで加熱又は茹で冷まし、他の材料を煮込んだ後に加えると、
</t>
    <phoneticPr fontId="18"/>
  </si>
  <si>
    <t>煮崩れを防ぐことができます。</t>
  </si>
  <si>
    <t xml:space="preserve">③熱した油で肉・②を炒め小麦粉を加えて全体に混ぜ合わせ、水・酒・ケチャップ・ウスターソース・砂糖を
</t>
    <phoneticPr fontId="18"/>
  </si>
  <si>
    <t>加えて煮立たせます。</t>
  </si>
  <si>
    <t xml:space="preserve">③食べやすい大きさに切った玉ねぎは熱した油で炒め、塩・茹でて刻んだパセリをふり、
</t>
    <phoneticPr fontId="18"/>
  </si>
  <si>
    <t>魚に添えて下さい。</t>
  </si>
  <si>
    <t>食べやすい大きさに切った野菜は茹で冷まします。</t>
  </si>
  <si>
    <t>鶏肉とさつま芋の</t>
    <phoneticPr fontId="18"/>
  </si>
  <si>
    <t>クリームシチュー</t>
  </si>
  <si>
    <t xml:space="preserve">①魚は食べやすい大きさに切り、水気をふき取って小麦粉をまぶします。
</t>
    <phoneticPr fontId="18"/>
  </si>
  <si>
    <t>れんこんは厚さ3㎜程度のいちょう切りにし、水にさらして水気をきります。かぼちゃはくし形に切りにします。</t>
  </si>
  <si>
    <t xml:space="preserve">①肉は酒をもみ込み、片栗粉を薄くまぶし茹で冷まします。
</t>
    <phoneticPr fontId="18"/>
  </si>
  <si>
    <t>茹で豚とチンゲン菜の</t>
    <phoneticPr fontId="18"/>
  </si>
  <si>
    <t>サラダ</t>
  </si>
  <si>
    <t xml:space="preserve">④熱したごま油で③を炒め、だし汁・みりん・醤油で煮ます。野菜が柔らかくなったら、
</t>
    <phoneticPr fontId="18"/>
  </si>
  <si>
    <t>水溶き片栗粉でとろみをつけ、②にかけます。</t>
  </si>
  <si>
    <t>ケチャップライスの</t>
    <phoneticPr fontId="18"/>
  </si>
  <si>
    <t>ふわふわ玉子のせ</t>
  </si>
  <si>
    <t xml:space="preserve">④食べやすい大きさに切って茹でたキャベツ・茹でて食べやすい大きさに切ったトマトを手前に盛り付け、
</t>
    <phoneticPr fontId="18"/>
  </si>
  <si>
    <t>ケチャップで目・口を描いて下さい。</t>
  </si>
  <si>
    <t xml:space="preserve">③半月切りにした人参は水・バター・砂糖・塩で煮てクマの耳に、茹でた枝豆は鼻に見立てて
</t>
    <phoneticPr fontId="18"/>
  </si>
  <si>
    <t>盛り付けます。</t>
  </si>
  <si>
    <t xml:space="preserve">②①・肉・水切りした豆腐・パン粉・みそ・みりんを練り混ぜ、人数分の小判型にまとめて
</t>
    <phoneticPr fontId="18"/>
  </si>
  <si>
    <t>フライパン等で焼き、お皿に盛り付けます。</t>
  </si>
  <si>
    <t>★イベントメニュー★</t>
  </si>
  <si>
    <t>＜盛り付けイメージ＞</t>
  </si>
  <si>
    <t>④茹でたグリンピースを散らして下さい。_x000D_</t>
  </si>
  <si>
    <t>③千切りにしたキャベツは茹で、トマトは茹でて食べやすい大きさに切り、②に添えて下さい。_x000D_</t>
  </si>
  <si>
    <t xml:space="preserve">③熱したごま油で②を炒め、だし汁・みりん・醤油で煮ます。野菜が柔らかくなったら、
</t>
    <phoneticPr fontId="19"/>
  </si>
  <si>
    <t>水溶き片栗粉でとろみをつけ、①にかけます。</t>
  </si>
  <si>
    <t>揚げ高野豆腐の</t>
    <phoneticPr fontId="19"/>
  </si>
  <si>
    <t>きのこあんかけ</t>
  </si>
  <si>
    <t>③炊き上がったら具を全体に混ぜ込み、きつねの顔の形に盛ります。</t>
    <phoneticPr fontId="19"/>
  </si>
  <si>
    <t>茹でたむき枝豆を目、商品の裏面を参考に加熱したミートボールを鼻・刻み海苔をひげにして</t>
    <phoneticPr fontId="19"/>
  </si>
  <si>
    <t>盛り付けて下さい。</t>
  </si>
  <si>
    <t xml:space="preserve">②①・肉・よく水切りした豆腐・パン粉・みそ・みりんを練り混ぜ、人数分の小判型にまとめて
</t>
    <phoneticPr fontId="19"/>
  </si>
  <si>
    <t xml:space="preserve">②研いだ米に醤油・水（調味料と合わせて通常の炊飯水量）を加えて軽く混ぜます。
</t>
    <phoneticPr fontId="19"/>
  </si>
  <si>
    <t>上に①を広げてのせ、炊飯します。</t>
  </si>
  <si>
    <t xml:space="preserve">①石突を取ってほぐし粗くみじん切りしたきのこ・油揚げは出し汁・砂糖・酒・醤油で煮ます。
</t>
    <phoneticPr fontId="19"/>
  </si>
  <si>
    <t>月</t>
  </si>
  <si>
    <t>ご飯・バター・パン粉・マヨネーズ・砂糖・小麦粉・油</t>
  </si>
  <si>
    <t>牛乳・鮭・味噌</t>
  </si>
  <si>
    <t>インゲン・オレンジ・ひじき・ほうれん草・玉ねぎ・人参・長ねぎ・白菜</t>
  </si>
  <si>
    <t>こしょう・ふりかけ・出し汁・醤油・精製塩</t>
  </si>
  <si>
    <t>kcal</t>
    <phoneticPr fontId="3"/>
  </si>
  <si>
    <t>乳・卵・小麦_x000D_
※18</t>
    <phoneticPr fontId="3"/>
  </si>
  <si>
    <t>火</t>
  </si>
  <si>
    <t>ごま油・ご飯・さつま芋・バター・砂糖・片栗粉</t>
  </si>
  <si>
    <t>鶏肉・豆腐</t>
  </si>
  <si>
    <t>りんご・ワカメ・玉ねぎ・枝豆・人参・水菜</t>
  </si>
  <si>
    <t>みりん風調味料・出し汁・醤油・水・精製塩</t>
  </si>
  <si>
    <t>鮭とほうれん草のグラタン風</t>
  </si>
  <si>
    <t>ｇ</t>
    <phoneticPr fontId="3"/>
  </si>
  <si>
    <t>kcal</t>
  </si>
  <si>
    <t>ご飯・じゃが芋・砂糖・油</t>
  </si>
  <si>
    <t>牛乳・大豆・豚肉</t>
  </si>
  <si>
    <t>キャベツ・きゅうり・もやし・柿・玉ねぎ・人参</t>
  </si>
  <si>
    <t>ケチャップ・とろけるカレー　甘口・酒・酢・水・精製塩</t>
  </si>
  <si>
    <t>g</t>
    <phoneticPr fontId="3"/>
  </si>
  <si>
    <t>木</t>
  </si>
  <si>
    <t>スパゲッティ・バター・マヨネーズ・砂糖・小麦粉・油</t>
  </si>
  <si>
    <t>玉子・豚肉</t>
  </si>
  <si>
    <t>グリンピース・ワカメ・玉ねぎ・人参・長ねぎ・白菜</t>
  </si>
  <si>
    <t>ウスターソース・ケチャップ・コンソメ・酒・醤油・水・精製塩</t>
  </si>
  <si>
    <t>乳・卵・小麦</t>
  </si>
  <si>
    <t>金</t>
  </si>
  <si>
    <t>ご飯・じゃが芋・砂糖・焼ふ・片栗粉・油</t>
  </si>
  <si>
    <t>カラスカレイ・玉子・豚肉・味噌</t>
  </si>
  <si>
    <t>オレンジ・パセリ・玉ねぎ・人参・生姜</t>
  </si>
  <si>
    <t>みりん風調味料・酒・出し汁・醤油・精製塩</t>
  </si>
  <si>
    <t>土</t>
  </si>
  <si>
    <t>カリフラワーのサラダ</t>
    <phoneticPr fontId="29"/>
  </si>
  <si>
    <t>クッキー</t>
    <phoneticPr fontId="29"/>
  </si>
  <si>
    <t>ビスケット</t>
    <phoneticPr fontId="29"/>
  </si>
  <si>
    <t>せんべい</t>
    <phoneticPr fontId="29"/>
  </si>
  <si>
    <t>牛乳・鶏肉</t>
  </si>
  <si>
    <t>オレンジ・コーン・トマト・ブロッコリー・ほうれん草・玉ねぎ・人参</t>
  </si>
  <si>
    <t>コンソメ・ハウス　クリームシチューミクス・酢・水・精製塩</t>
  </si>
  <si>
    <t>鶏肉とさつま芋のクリームシチュー</t>
  </si>
  <si>
    <t>ご飯・さつま芋・バター・砂糖・油</t>
  </si>
  <si>
    <t>ごま・ご飯・砂糖・小麦粉・片栗粉・油</t>
  </si>
  <si>
    <t>スケソウタラ・豆腐・豚肉・味噌</t>
  </si>
  <si>
    <t>かぼちゃ・ごぼう・チンゲン菜・ピーマン・れんこん・柿・人参</t>
  </si>
  <si>
    <t>ふりかけ・みりん風調味料・酒・出し汁・醤油・酢・水</t>
  </si>
  <si>
    <t>うどん・ごま油・小麦粉・片栗粉・油</t>
  </si>
  <si>
    <t>高野豆腐・豚肉</t>
  </si>
  <si>
    <t>えのき茸・オレンジ・グリンピース・玉ねぎ・小松菜・人参・大根</t>
  </si>
  <si>
    <t>揚げ高野豆腐のきのこあんかけ</t>
  </si>
  <si>
    <t>茹で豚とチンゲン菜のサラダ</t>
  </si>
  <si>
    <t>うどん・ごま油・砂糖・片栗粉・油</t>
  </si>
  <si>
    <t>ヨーグルト・厚揚げ・豚肉</t>
  </si>
  <si>
    <t>えのき茸・グリンピース・玉ねぎ・小松菜・人参・大根</t>
  </si>
  <si>
    <t>みりん風調味料・酒・出し汁・醤油・水・精製塩</t>
  </si>
  <si>
    <t>ケチャップライスのふわふわ玉子のせ</t>
  </si>
  <si>
    <t>ごま・ご飯・バター・砂糖・油</t>
  </si>
  <si>
    <t>玉子・鶏肉</t>
  </si>
  <si>
    <t>かぶ・ピーマン・りんご・玉ねぎ・人参・長ねぎ・白菜</t>
  </si>
  <si>
    <t>ケチャップ・こしょう・コンソメ・酢・水・精製塩</t>
  </si>
  <si>
    <t>ご飯・パン粉・砂糖・油</t>
  </si>
  <si>
    <t>ミートボール・玉子・豆腐・豚肉・味噌・油揚げ</t>
  </si>
  <si>
    <t>キャベツ・しめじ・トマト・のり・バナナ・玉ねぎ・枝豆・大根</t>
  </si>
  <si>
    <t>ご飯・バター・パン粉・砂糖・油</t>
  </si>
  <si>
    <t>ツナフレーク缶・玉子・豆腐・豚肉・味噌</t>
  </si>
  <si>
    <t>キャベツ・きゅうり・コーン・トマト・バナナ・玉ねぎ・枝豆・人参・大根</t>
  </si>
  <si>
    <t>ケチャップ・みりん風調味料・出し汁・醤油・酢・水・精製塩</t>
  </si>
  <si>
    <t>牛乳</t>
    <phoneticPr fontId="29"/>
  </si>
  <si>
    <t>昼食</t>
    <phoneticPr fontId="3"/>
  </si>
  <si>
    <t>３色食品群</t>
    <phoneticPr fontId="3"/>
  </si>
  <si>
    <t>3色食品群以外の
使用食材</t>
    <phoneticPr fontId="3"/>
  </si>
  <si>
    <t>3～5歳児</t>
    <phoneticPr fontId="3"/>
  </si>
  <si>
    <t>1～2歳児</t>
    <phoneticPr fontId="3"/>
  </si>
  <si>
    <t>おやつ</t>
    <phoneticPr fontId="3"/>
  </si>
  <si>
    <t>キッズ</t>
    <phoneticPr fontId="3"/>
  </si>
  <si>
    <t>昼食</t>
    <phoneticPr fontId="3"/>
  </si>
  <si>
    <t>3～5歳児</t>
    <phoneticPr fontId="3"/>
  </si>
  <si>
    <t>1～2歳児</t>
    <phoneticPr fontId="3"/>
  </si>
  <si>
    <t>熱や力になるもの</t>
    <phoneticPr fontId="3"/>
  </si>
  <si>
    <t>血や肉や骨に           なるもの</t>
    <phoneticPr fontId="3"/>
  </si>
  <si>
    <t>体の調子を              整えるもの</t>
    <phoneticPr fontId="3"/>
  </si>
  <si>
    <t>エネルギー
たんぱく質
脂質
炭水化物
塩分</t>
    <phoneticPr fontId="3"/>
  </si>
  <si>
    <t>アレルギー
（乳・卵・小麦・落花生・そば・えび・かに）</t>
    <phoneticPr fontId="3"/>
  </si>
  <si>
    <t>エネルギー
たんぱく質
脂質
炭水化物
塩分</t>
    <phoneticPr fontId="3"/>
  </si>
  <si>
    <t>熱や力になるもの</t>
    <phoneticPr fontId="3"/>
  </si>
  <si>
    <t>アレルギー
（乳・卵・小麦・落花生・そば・えび・かに）</t>
    <phoneticPr fontId="3"/>
  </si>
  <si>
    <t>kcal</t>
    <phoneticPr fontId="3"/>
  </si>
  <si>
    <t>乳・卵・小麦_x000D_
※18</t>
    <phoneticPr fontId="3"/>
  </si>
  <si>
    <t>マカロニきなこ</t>
    <phoneticPr fontId="29"/>
  </si>
  <si>
    <t>ｇ</t>
    <phoneticPr fontId="3"/>
  </si>
  <si>
    <t>ツナチャーハン</t>
    <phoneticPr fontId="29"/>
  </si>
  <si>
    <t>ｇ</t>
    <phoneticPr fontId="3"/>
  </si>
  <si>
    <t>けんちんうどん</t>
    <phoneticPr fontId="29"/>
  </si>
  <si>
    <t>g</t>
    <phoneticPr fontId="3"/>
  </si>
  <si>
    <t>kcal</t>
    <phoneticPr fontId="3"/>
  </si>
  <si>
    <t>さつま芋入り蒸しパン</t>
    <phoneticPr fontId="29"/>
  </si>
  <si>
    <t>ウエハース</t>
    <phoneticPr fontId="29"/>
  </si>
  <si>
    <t>クラッカー</t>
    <phoneticPr fontId="29"/>
  </si>
  <si>
    <t>鈴カステラ</t>
    <phoneticPr fontId="29"/>
  </si>
  <si>
    <t>ご飯・じゃが芋・砂糖・焼ふ・片栗粉・油</t>
    <phoneticPr fontId="29"/>
  </si>
  <si>
    <t>カラスカレイ・玉子・豚肉・味噌</t>
    <phoneticPr fontId="29"/>
  </si>
  <si>
    <t>ハヤシライス</t>
    <phoneticPr fontId="29"/>
  </si>
  <si>
    <t>ご飯・油・砂糖</t>
    <phoneticPr fontId="29"/>
  </si>
  <si>
    <t>豚肉・ツナフレーク缶</t>
    <phoneticPr fontId="29"/>
  </si>
  <si>
    <t>玉葱・カットトマトパック・グリンピース・カリフラワー・コーン・黄桃缶</t>
    <phoneticPr fontId="29"/>
  </si>
  <si>
    <t>とろけるハヤシ・ケチャップ・酒・水・醬油・酢</t>
    <phoneticPr fontId="29"/>
  </si>
  <si>
    <t>小麦</t>
    <phoneticPr fontId="29"/>
  </si>
  <si>
    <t>牛乳</t>
    <phoneticPr fontId="29"/>
  </si>
  <si>
    <t>&lt;７日 立冬&gt;</t>
    <phoneticPr fontId="29"/>
  </si>
  <si>
    <t>カリフラワーのサラダ</t>
    <phoneticPr fontId="29"/>
  </si>
  <si>
    <t>ご飯・油・砂糖</t>
    <phoneticPr fontId="29"/>
  </si>
  <si>
    <t>玉葱・カットトマトパック・グリンピース・カリフラワー・コーン・黄桃缶</t>
    <phoneticPr fontId="29"/>
  </si>
  <si>
    <t>とろけるハヤシ・ケチャップ・酒・水・醬油・酢</t>
    <phoneticPr fontId="29"/>
  </si>
  <si>
    <t>フルーツ（黄桃缶）</t>
    <phoneticPr fontId="29"/>
  </si>
  <si>
    <t>せんべい</t>
    <phoneticPr fontId="29"/>
  </si>
  <si>
    <t>ビスケット</t>
    <phoneticPr fontId="29"/>
  </si>
  <si>
    <t>ご飯・さつま芋・バター・砂糖・油</t>
    <phoneticPr fontId="29"/>
  </si>
  <si>
    <t>パイ</t>
    <phoneticPr fontId="29"/>
  </si>
  <si>
    <t>ナポリタン風マカロニ</t>
    <phoneticPr fontId="29"/>
  </si>
  <si>
    <t>小麦_x000D_
※18</t>
    <phoneticPr fontId="3"/>
  </si>
  <si>
    <t>黒糖入りドーナツ</t>
    <phoneticPr fontId="29"/>
  </si>
  <si>
    <t>パイナップル入りカップケーキ</t>
    <phoneticPr fontId="29"/>
  </si>
  <si>
    <t>ひじきのおにぎり</t>
    <phoneticPr fontId="29"/>
  </si>
  <si>
    <t>ジャムサンド</t>
    <phoneticPr fontId="29"/>
  </si>
  <si>
    <t>26
金</t>
    <phoneticPr fontId="3"/>
  </si>
  <si>
    <t>イベント献立</t>
    <phoneticPr fontId="3"/>
  </si>
  <si>
    <t>卵・小麦_x000D_
※18</t>
    <phoneticPr fontId="3"/>
  </si>
  <si>
    <t>バームクーヘン</t>
    <phoneticPr fontId="29"/>
  </si>
  <si>
    <t>12
金</t>
    <phoneticPr fontId="3"/>
  </si>
  <si>
    <t>野菜あんかけ丼</t>
    <phoneticPr fontId="29"/>
  </si>
  <si>
    <t>ご飯・じゃが芋・砂糖・油・胡麻油</t>
    <phoneticPr fontId="29"/>
  </si>
  <si>
    <t>豚肉・ツナフレーク缶・ヨーグルト</t>
    <phoneticPr fontId="29"/>
  </si>
  <si>
    <t>コー・ン人参・キャベツ・大根・インゲン・玉葱・椎茸・かぼちゃトマト・ブロッコリー・ほうれん草</t>
    <phoneticPr fontId="29"/>
  </si>
  <si>
    <t>精製塩・醬油・酢</t>
    <phoneticPr fontId="29"/>
  </si>
  <si>
    <t>乳・小麦</t>
    <phoneticPr fontId="29"/>
  </si>
  <si>
    <t>ほうれん草とツナのサラダ</t>
    <phoneticPr fontId="29"/>
  </si>
  <si>
    <t>せんべい</t>
    <phoneticPr fontId="29"/>
  </si>
  <si>
    <t>ヨーグルト</t>
    <phoneticPr fontId="29"/>
  </si>
  <si>
    <t>精製塩・醬油・酢</t>
    <phoneticPr fontId="29"/>
  </si>
  <si>
    <t>乳・小麦</t>
    <phoneticPr fontId="29"/>
  </si>
  <si>
    <t>ほうれん草とツナのサラダ</t>
    <phoneticPr fontId="29"/>
  </si>
  <si>
    <t>ウエハース</t>
    <phoneticPr fontId="29"/>
  </si>
  <si>
    <t>ヨーグルト</t>
    <phoneticPr fontId="29"/>
  </si>
  <si>
    <t>乳・卵・小麦_x000D_
※18</t>
    <phoneticPr fontId="3"/>
  </si>
  <si>
    <t>カラフルカップケーキ</t>
    <phoneticPr fontId="29"/>
  </si>
  <si>
    <t>&lt;七五三&gt;</t>
    <phoneticPr fontId="29"/>
  </si>
  <si>
    <t>年齢</t>
    <phoneticPr fontId="3"/>
  </si>
  <si>
    <t>給与栄養目標量</t>
    <phoneticPr fontId="3"/>
  </si>
  <si>
    <t>当月平均給与栄養量</t>
    <phoneticPr fontId="3"/>
  </si>
  <si>
    <t>※3色食品群は食品中に含まれる栄養素を見た目で分かりやすくする為の目安です。　３色食品群に分類されない食材は、「3色食品群以外の使用食材」に記載しております。</t>
    <phoneticPr fontId="3"/>
  </si>
  <si>
    <t>ｴﾈﾙｷﾞｰ/たんぱく質/脂質/炭水化物/塩分</t>
    <phoneticPr fontId="3"/>
  </si>
  <si>
    <t>エネルギーkcal</t>
    <phoneticPr fontId="3"/>
  </si>
  <si>
    <t>たんぱく質ｇ</t>
    <phoneticPr fontId="3"/>
  </si>
  <si>
    <t>脂質ｇ</t>
    <phoneticPr fontId="3"/>
  </si>
  <si>
    <t>炭水化物ｇ</t>
    <phoneticPr fontId="3"/>
  </si>
  <si>
    <t>塩分ｇ</t>
    <phoneticPr fontId="3"/>
  </si>
  <si>
    <t>※調味料のアレルギー表示は弊社でお届けしたものに限ります。またアレルギーの詳細は「予定献立表」でご確認下さい。</t>
    <phoneticPr fontId="3"/>
  </si>
  <si>
    <t>3～5</t>
    <phoneticPr fontId="3"/>
  </si>
  <si>
    <t>歳</t>
    <phoneticPr fontId="3"/>
  </si>
  <si>
    <t>390/16.1/10.8/57.0/1.1未満</t>
    <phoneticPr fontId="3"/>
  </si>
  <si>
    <t>※都合により、献立を変更する場合がございます。</t>
    <phoneticPr fontId="3"/>
  </si>
  <si>
    <t>1～2</t>
    <phoneticPr fontId="3"/>
  </si>
  <si>
    <t>285/11.8/7.9/41.7/0.8未満</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</si>
</sst>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2"/>
    <numFmt numFmtId="179" formatCode="#\ ?/4"/>
    <numFmt numFmtId="180" formatCode="#\ ?/8"/>
    <numFmt numFmtId="181" formatCode="#\ ?/10"/>
    <numFmt numFmtId="182" formatCode="#\ ?/6"/>
    <numFmt numFmtId="183" formatCode="#\ ?/3"/>
    <numFmt numFmtId="184" formatCode="#\ ?/12"/>
    <numFmt numFmtId="185" formatCode="0.0_ "/>
    <numFmt numFmtId="186" formatCode="0_ "/>
  </numFmts>
  <fonts count="32">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sz val="8"/>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10"/>
      <name val="ＭＳ Ｐ明朝"/>
      <family val="1"/>
      <charset val="128"/>
    </font>
    <font>
      <sz val="9"/>
      <name val="ＭＳ Ｐ明朝"/>
      <family val="1"/>
      <charset val="128"/>
    </font>
    <font>
      <sz val="6"/>
      <name val="ＭＳ Ｐゴシック"/>
      <family val="3"/>
      <charset val="128"/>
    </font>
    <font>
      <sz val="10"/>
      <color rgb="FFFF0000"/>
      <name val="ＭＳ Ｐ明朝"/>
      <family val="1"/>
      <charset val="128"/>
    </font>
    <font>
      <sz val="11"/>
      <color rgb="FFFF0000"/>
      <name val="ＭＳ Ｐ明朝"/>
      <family val="1"/>
      <charset val="128"/>
    </font>
  </fonts>
  <fills count="12">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CCFF"/>
        <bgColor indexed="64"/>
      </patternFill>
    </fill>
    <fill>
      <patternFill patternType="solid">
        <fgColor rgb="FFCCFFFF"/>
        <bgColor indexed="64"/>
      </patternFill>
    </fill>
    <fill>
      <patternFill patternType="solid">
        <fgColor rgb="FFFFDAA3"/>
        <bgColor indexed="64"/>
      </patternFill>
    </fill>
    <fill>
      <patternFill patternType="solid">
        <fgColor theme="0" tint="-0.14999847407452621"/>
        <bgColor indexed="64"/>
      </patternFill>
    </fill>
    <fill>
      <patternFill patternType="solid">
        <fgColor rgb="FFC8FFB7"/>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cellStyleXfs>
  <cellXfs count="235">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1" xfId="1" applyFont="1" applyBorder="1" applyAlignment="1">
      <alignment horizontal="center" vertical="center"/>
    </xf>
    <xf numFmtId="0" fontId="5" fillId="0" borderId="0" xfId="1" applyFont="1" applyBorder="1" applyAlignment="1">
      <alignment horizontal="center" vertical="center"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6" fillId="0" borderId="2" xfId="1" applyFont="1" applyBorder="1" applyAlignment="1">
      <alignment horizontal="center" vertical="center"/>
    </xf>
    <xf numFmtId="0" fontId="6" fillId="0" borderId="2" xfId="1" applyNumberFormat="1" applyFont="1" applyBorder="1" applyAlignment="1">
      <alignment horizontal="center" vertical="center"/>
    </xf>
    <xf numFmtId="0" fontId="6" fillId="0" borderId="1" xfId="1" applyFont="1" applyBorder="1" applyAlignment="1">
      <alignment horizontal="center" vertical="center" shrinkToFit="1"/>
    </xf>
    <xf numFmtId="0" fontId="7" fillId="0" borderId="0" xfId="3" applyNumberFormat="1" applyFont="1" applyFill="1" applyAlignment="1">
      <alignment shrinkToFit="1"/>
    </xf>
    <xf numFmtId="0" fontId="8" fillId="0" borderId="0" xfId="1" applyNumberFormat="1" applyFont="1" applyBorder="1" applyAlignment="1">
      <alignment wrapText="1"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0" xfId="1" applyNumberFormat="1" applyFont="1" applyBorder="1" applyAlignment="1">
      <alignment shrinkToFit="1"/>
    </xf>
    <xf numFmtId="0" fontId="12" fillId="0" borderId="3" xfId="1" applyFont="1" applyBorder="1" applyAlignment="1">
      <alignment horizontal="left" vertical="center"/>
    </xf>
    <xf numFmtId="0" fontId="12" fillId="0" borderId="4" xfId="1" applyFont="1" applyBorder="1" applyAlignment="1">
      <alignment horizontal="center" vertical="center" shrinkToFit="1"/>
    </xf>
    <xf numFmtId="0" fontId="12" fillId="0" borderId="5" xfId="1" applyFont="1" applyBorder="1" applyAlignment="1">
      <alignment horizontal="center" vertical="center" shrinkToFit="1"/>
    </xf>
    <xf numFmtId="0" fontId="13" fillId="0" borderId="6" xfId="1" applyNumberFormat="1" applyFont="1" applyBorder="1" applyAlignment="1">
      <alignment horizontal="center" vertical="center" wrapText="1"/>
    </xf>
    <xf numFmtId="0" fontId="12" fillId="0" borderId="6" xfId="1" applyFont="1" applyBorder="1" applyAlignment="1">
      <alignment horizontal="center" vertical="center" shrinkToFit="1"/>
    </xf>
    <xf numFmtId="0" fontId="12" fillId="0" borderId="6" xfId="1" applyNumberFormat="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xf>
    <xf numFmtId="0" fontId="14" fillId="0" borderId="6" xfId="1" applyNumberFormat="1" applyFont="1" applyBorder="1" applyAlignment="1">
      <alignment horizontal="center" vertical="center" wrapText="1" shrinkToFit="1"/>
    </xf>
    <xf numFmtId="0" fontId="12" fillId="0" borderId="5" xfId="1" applyNumberFormat="1" applyFont="1" applyBorder="1" applyAlignment="1">
      <alignment horizontal="center" vertical="center" shrinkToFit="1"/>
    </xf>
    <xf numFmtId="0" fontId="12" fillId="0" borderId="7"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6" fillId="0" borderId="0" xfId="1" applyFont="1" applyAlignment="1">
      <alignment vertical="top" shrinkToFit="1"/>
    </xf>
    <xf numFmtId="0" fontId="15" fillId="0" borderId="0" xfId="1" applyFont="1" applyAlignment="1">
      <alignment horizontal="left" vertical="center"/>
    </xf>
    <xf numFmtId="0" fontId="5" fillId="0" borderId="0" xfId="1" applyNumberFormat="1" applyFont="1" applyAlignment="1">
      <alignment horizontal="center" vertical="top" shrinkToFit="1"/>
    </xf>
    <xf numFmtId="0" fontId="15" fillId="0" borderId="0" xfId="1" applyFont="1" applyAlignment="1">
      <alignment horizontal="center" vertical="top" shrinkToFit="1"/>
    </xf>
    <xf numFmtId="0" fontId="15" fillId="0" borderId="0" xfId="1" applyFont="1" applyAlignment="1">
      <alignment vertical="top" shrinkToFit="1"/>
    </xf>
    <xf numFmtId="0" fontId="17" fillId="0" borderId="0" xfId="1" applyFont="1" applyAlignment="1">
      <alignment horizontal="center" vertical="top" shrinkToFit="1"/>
    </xf>
    <xf numFmtId="0" fontId="17" fillId="0" borderId="0" xfId="1" applyNumberFormat="1" applyFont="1" applyAlignment="1">
      <alignment horizontal="center" vertical="top" shrinkToFit="1"/>
    </xf>
    <xf numFmtId="0" fontId="12" fillId="0" borderId="6" xfId="1" applyNumberFormat="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2" xfId="1" applyFont="1" applyFill="1" applyBorder="1" applyAlignment="1">
      <alignment horizontal="center" vertical="center"/>
    </xf>
    <xf numFmtId="0" fontId="6" fillId="0" borderId="2" xfId="1" applyNumberFormat="1" applyFont="1" applyFill="1" applyBorder="1" applyAlignment="1">
      <alignment horizontal="center" vertical="center"/>
    </xf>
    <xf numFmtId="0" fontId="16" fillId="0" borderId="9" xfId="1" applyFont="1" applyBorder="1" applyAlignment="1">
      <alignment vertical="top" shrinkToFit="1"/>
    </xf>
    <xf numFmtId="0" fontId="7" fillId="0" borderId="9" xfId="1" applyFont="1" applyBorder="1" applyAlignment="1">
      <alignment vertical="center" shrinkToFit="1"/>
    </xf>
    <xf numFmtId="176" fontId="5" fillId="0" borderId="9" xfId="1" applyNumberFormat="1" applyFont="1" applyBorder="1" applyAlignment="1">
      <alignment horizontal="center" vertical="top" shrinkToFit="1"/>
    </xf>
    <xf numFmtId="0" fontId="15" fillId="0" borderId="9" xfId="1" applyFont="1" applyBorder="1" applyAlignment="1">
      <alignment horizontal="center" vertical="top" shrinkToFit="1"/>
    </xf>
    <xf numFmtId="0" fontId="15" fillId="0" borderId="9" xfId="1" applyFont="1" applyBorder="1" applyAlignment="1">
      <alignment vertical="top" shrinkToFit="1"/>
    </xf>
    <xf numFmtId="0" fontId="17" fillId="0" borderId="9" xfId="1" applyNumberFormat="1" applyFont="1" applyBorder="1" applyAlignment="1">
      <alignment horizontal="center" vertical="top" shrinkToFit="1"/>
    </xf>
    <xf numFmtId="0" fontId="5" fillId="0" borderId="9" xfId="1" applyNumberFormat="1" applyFont="1" applyBorder="1" applyAlignment="1">
      <alignment horizontal="center" vertical="top" shrinkToFit="1"/>
    </xf>
    <xf numFmtId="0" fontId="16"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5" fillId="0" borderId="10" xfId="1" applyFont="1" applyBorder="1" applyAlignment="1">
      <alignment horizontal="center" vertical="top" shrinkToFit="1"/>
    </xf>
    <xf numFmtId="0" fontId="15" fillId="0" borderId="10" xfId="1" applyFont="1" applyBorder="1" applyAlignment="1">
      <alignment vertical="top" shrinkToFit="1"/>
    </xf>
    <xf numFmtId="0" fontId="17" fillId="0" borderId="10" xfId="1" applyNumberFormat="1" applyFont="1" applyBorder="1" applyAlignment="1">
      <alignment horizontal="center" vertical="top" shrinkToFit="1"/>
    </xf>
    <xf numFmtId="0" fontId="16"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5" fillId="0" borderId="11" xfId="1" applyFont="1" applyBorder="1" applyAlignment="1">
      <alignment horizontal="center" vertical="top" shrinkToFit="1"/>
    </xf>
    <xf numFmtId="0" fontId="15" fillId="0" borderId="11" xfId="1" applyFont="1" applyBorder="1" applyAlignment="1">
      <alignment vertical="top" shrinkToFit="1"/>
    </xf>
    <xf numFmtId="0" fontId="17" fillId="0" borderId="11" xfId="1" applyNumberFormat="1" applyFont="1" applyBorder="1" applyAlignment="1">
      <alignment horizontal="center" vertical="top" shrinkToFit="1"/>
    </xf>
    <xf numFmtId="181" fontId="5" fillId="0" borderId="11" xfId="1" applyNumberFormat="1" applyFont="1" applyBorder="1" applyAlignment="1">
      <alignment horizontal="center" vertical="top" shrinkToFit="1"/>
    </xf>
    <xf numFmtId="182" fontId="5" fillId="0" borderId="11" xfId="1" applyNumberFormat="1" applyFont="1" applyBorder="1" applyAlignment="1">
      <alignment horizontal="center" vertical="top" shrinkToFit="1"/>
    </xf>
    <xf numFmtId="0" fontId="16" fillId="0" borderId="12" xfId="1" applyFont="1" applyBorder="1" applyAlignment="1">
      <alignment vertical="top" shrinkToFit="1"/>
    </xf>
    <xf numFmtId="0" fontId="7" fillId="0" borderId="12" xfId="1" applyFont="1" applyBorder="1" applyAlignment="1">
      <alignment vertical="center" shrinkToFit="1"/>
    </xf>
    <xf numFmtId="0" fontId="5" fillId="0" borderId="12" xfId="1" applyNumberFormat="1" applyFont="1" applyBorder="1" applyAlignment="1">
      <alignment horizontal="center" vertical="top" shrinkToFit="1"/>
    </xf>
    <xf numFmtId="0" fontId="15" fillId="0" borderId="12" xfId="1" applyFont="1" applyBorder="1" applyAlignment="1">
      <alignment horizontal="center" vertical="top" shrinkToFit="1"/>
    </xf>
    <xf numFmtId="0" fontId="15" fillId="0" borderId="12" xfId="1" applyFont="1" applyBorder="1" applyAlignment="1">
      <alignment vertical="top" shrinkToFit="1"/>
    </xf>
    <xf numFmtId="0" fontId="17" fillId="0" borderId="12" xfId="1" applyNumberFormat="1" applyFont="1" applyBorder="1" applyAlignment="1">
      <alignment horizontal="center" vertical="top" shrinkToFit="1"/>
    </xf>
    <xf numFmtId="180" fontId="5" fillId="0" borderId="11" xfId="1" applyNumberFormat="1" applyFont="1" applyBorder="1" applyAlignment="1">
      <alignment horizontal="center" vertical="top" shrinkToFit="1"/>
    </xf>
    <xf numFmtId="183" fontId="5" fillId="0" borderId="11" xfId="1" applyNumberFormat="1" applyFont="1" applyBorder="1" applyAlignment="1">
      <alignment horizontal="center" vertical="top" shrinkToFit="1"/>
    </xf>
    <xf numFmtId="176" fontId="5" fillId="0" borderId="11" xfId="1" applyNumberFormat="1" applyFont="1" applyBorder="1" applyAlignment="1">
      <alignment horizontal="center" vertical="top" shrinkToFit="1"/>
    </xf>
    <xf numFmtId="0" fontId="7" fillId="0" borderId="13" xfId="1" applyFont="1" applyBorder="1" applyAlignment="1">
      <alignment vertical="center" shrinkToFit="1"/>
    </xf>
    <xf numFmtId="0" fontId="7" fillId="0" borderId="14" xfId="1" applyFont="1" applyBorder="1" applyAlignment="1">
      <alignment vertical="center" shrinkToFit="1"/>
    </xf>
    <xf numFmtId="0" fontId="7" fillId="0" borderId="15" xfId="1" applyFont="1" applyBorder="1" applyAlignment="1">
      <alignment vertical="center" shrinkToFit="1"/>
    </xf>
    <xf numFmtId="0" fontId="7" fillId="0" borderId="16" xfId="1" applyFont="1" applyBorder="1" applyAlignment="1">
      <alignment vertical="center" shrinkToFit="1"/>
    </xf>
    <xf numFmtId="0" fontId="16" fillId="0" borderId="17" xfId="1" applyFont="1" applyBorder="1" applyAlignment="1">
      <alignment vertical="top" shrinkToFit="1"/>
    </xf>
    <xf numFmtId="0" fontId="16" fillId="0" borderId="18" xfId="1" applyFont="1" applyBorder="1" applyAlignment="1">
      <alignment vertical="top" shrinkToFit="1"/>
    </xf>
    <xf numFmtId="0" fontId="16" fillId="0" borderId="1" xfId="1" applyFont="1" applyBorder="1" applyAlignment="1">
      <alignment vertical="top" shrinkToFit="1"/>
    </xf>
    <xf numFmtId="0" fontId="16" fillId="0" borderId="19" xfId="1" applyFont="1" applyBorder="1" applyAlignment="1">
      <alignment vertical="top" shrinkToFit="1"/>
    </xf>
    <xf numFmtId="0" fontId="15" fillId="0" borderId="20" xfId="1" applyFont="1" applyBorder="1" applyAlignment="1">
      <alignment horizontal="center" vertical="top" shrinkToFit="1"/>
    </xf>
    <xf numFmtId="0" fontId="15" fillId="0" borderId="21" xfId="1" applyFont="1" applyBorder="1" applyAlignment="1">
      <alignment horizontal="center" vertical="top" shrinkToFit="1"/>
    </xf>
    <xf numFmtId="0" fontId="15" fillId="0" borderId="22" xfId="1" applyFont="1" applyBorder="1" applyAlignment="1">
      <alignment horizontal="center" vertical="top" shrinkToFit="1"/>
    </xf>
    <xf numFmtId="0" fontId="15" fillId="0" borderId="23" xfId="1" applyFont="1" applyBorder="1" applyAlignment="1">
      <alignment horizontal="center" vertical="top" shrinkToFit="1"/>
    </xf>
    <xf numFmtId="0" fontId="15" fillId="0" borderId="24" xfId="1" applyFont="1" applyBorder="1" applyAlignment="1">
      <alignment vertical="top" shrinkToFit="1"/>
    </xf>
    <xf numFmtId="0" fontId="15" fillId="0" borderId="25" xfId="1" applyFont="1" applyBorder="1" applyAlignment="1">
      <alignment vertical="top" shrinkToFit="1"/>
    </xf>
    <xf numFmtId="0" fontId="15" fillId="0" borderId="26" xfId="1" applyFont="1" applyBorder="1" applyAlignment="1">
      <alignment vertical="top" shrinkToFit="1"/>
    </xf>
    <xf numFmtId="0" fontId="15" fillId="0" borderId="27" xfId="1" applyFont="1" applyBorder="1" applyAlignment="1">
      <alignment vertical="top" shrinkToFit="1"/>
    </xf>
    <xf numFmtId="0" fontId="17" fillId="0" borderId="13" xfId="1" applyFont="1" applyBorder="1" applyAlignment="1">
      <alignment horizontal="center" vertical="top" shrinkToFit="1"/>
    </xf>
    <xf numFmtId="0" fontId="17" fillId="0" borderId="14" xfId="1" applyFont="1" applyBorder="1" applyAlignment="1">
      <alignment horizontal="center" vertical="top" shrinkToFit="1"/>
    </xf>
    <xf numFmtId="0" fontId="17" fillId="0" borderId="15" xfId="1" applyFont="1" applyBorder="1" applyAlignment="1">
      <alignment horizontal="center" vertical="top" shrinkToFit="1"/>
    </xf>
    <xf numFmtId="0" fontId="17" fillId="0" borderId="16" xfId="1" applyFont="1" applyBorder="1" applyAlignment="1">
      <alignment horizontal="center" vertical="top" shrinkToFit="1"/>
    </xf>
    <xf numFmtId="179" fontId="5" fillId="0" borderId="11" xfId="1" applyNumberFormat="1" applyFont="1" applyBorder="1" applyAlignment="1">
      <alignment horizontal="center" vertical="top" shrinkToFit="1"/>
    </xf>
    <xf numFmtId="184" fontId="5" fillId="0" borderId="11" xfId="1" applyNumberFormat="1" applyFont="1" applyBorder="1" applyAlignment="1">
      <alignment horizontal="center" vertical="top" shrinkToFit="1"/>
    </xf>
    <xf numFmtId="0" fontId="16" fillId="0" borderId="1" xfId="1" applyFont="1" applyBorder="1" applyAlignment="1">
      <alignment vertical="top" wrapText="1" shrinkToFit="1"/>
    </xf>
    <xf numFmtId="0" fontId="16" fillId="0" borderId="0" xfId="1" applyFont="1" applyAlignment="1">
      <alignment vertical="top"/>
    </xf>
    <xf numFmtId="0" fontId="0" fillId="0" borderId="0" xfId="0">
      <alignment vertical="center"/>
    </xf>
    <xf numFmtId="0" fontId="16" fillId="0" borderId="17" xfId="1" applyFont="1" applyBorder="1" applyAlignment="1">
      <alignment vertical="top" wrapText="1" shrinkToFit="1"/>
    </xf>
    <xf numFmtId="0" fontId="20" fillId="0" borderId="0" xfId="1" applyFont="1" applyFill="1" applyAlignment="1">
      <alignment horizontal="center" vertical="center"/>
    </xf>
    <xf numFmtId="0" fontId="20" fillId="0" borderId="0" xfId="1" applyFont="1" applyFill="1">
      <alignment vertical="center"/>
    </xf>
    <xf numFmtId="185" fontId="20" fillId="0" borderId="0" xfId="1" applyNumberFormat="1" applyFont="1" applyFill="1">
      <alignment vertical="center"/>
    </xf>
    <xf numFmtId="0" fontId="25" fillId="0" borderId="1" xfId="1" applyFont="1" applyFill="1" applyBorder="1" applyAlignment="1">
      <alignment horizontal="center" vertical="center" wrapText="1"/>
    </xf>
    <xf numFmtId="0" fontId="20" fillId="0" borderId="11" xfId="2" applyFont="1" applyBorder="1" applyAlignment="1">
      <alignment horizontal="center" wrapText="1" shrinkToFit="1"/>
    </xf>
    <xf numFmtId="0" fontId="27" fillId="0" borderId="34" xfId="1" applyFont="1" applyFill="1" applyBorder="1">
      <alignment vertical="center"/>
    </xf>
    <xf numFmtId="186" fontId="27" fillId="0" borderId="34" xfId="1" applyNumberFormat="1" applyFont="1" applyFill="1" applyBorder="1" applyAlignment="1">
      <alignment horizontal="right" vertical="center"/>
    </xf>
    <xf numFmtId="0" fontId="27" fillId="0" borderId="34" xfId="1" applyFont="1" applyFill="1" applyBorder="1" applyAlignment="1">
      <alignment horizontal="left" vertical="center"/>
    </xf>
    <xf numFmtId="0" fontId="27" fillId="0" borderId="34" xfId="1" applyFont="1" applyFill="1" applyBorder="1" applyAlignment="1">
      <alignment horizontal="left" vertical="top" shrinkToFit="1"/>
    </xf>
    <xf numFmtId="0" fontId="27" fillId="0" borderId="11" xfId="2" applyFont="1" applyFill="1" applyBorder="1" applyAlignment="1">
      <alignment horizontal="left" vertical="top" wrapText="1"/>
    </xf>
    <xf numFmtId="0" fontId="27" fillId="0" borderId="2" xfId="1" applyFont="1" applyFill="1" applyBorder="1" applyAlignment="1">
      <alignment horizontal="center" vertical="center"/>
    </xf>
    <xf numFmtId="0" fontId="27" fillId="6" borderId="11" xfId="1" applyFont="1" applyFill="1" applyBorder="1">
      <alignment vertical="center"/>
    </xf>
    <xf numFmtId="185" fontId="27" fillId="0" borderId="11" xfId="1" applyNumberFormat="1" applyFont="1" applyFill="1" applyBorder="1">
      <alignment vertical="center"/>
    </xf>
    <xf numFmtId="0" fontId="27" fillId="0" borderId="11" xfId="1" applyFont="1" applyFill="1" applyBorder="1" applyAlignment="1">
      <alignment vertical="center"/>
    </xf>
    <xf numFmtId="0" fontId="27" fillId="0" borderId="11" xfId="1" applyFont="1" applyFill="1" applyBorder="1" applyAlignment="1">
      <alignment horizontal="left" vertical="top" shrinkToFit="1"/>
    </xf>
    <xf numFmtId="0" fontId="27" fillId="7" borderId="11" xfId="1" applyFont="1" applyFill="1" applyBorder="1">
      <alignment vertical="center"/>
    </xf>
    <xf numFmtId="0" fontId="27" fillId="0" borderId="11" xfId="1" applyFont="1" applyFill="1" applyBorder="1">
      <alignment vertical="center"/>
    </xf>
    <xf numFmtId="0" fontId="27" fillId="0" borderId="10" xfId="1" applyFont="1" applyFill="1" applyBorder="1">
      <alignment vertical="center"/>
    </xf>
    <xf numFmtId="185" fontId="27" fillId="0" borderId="10" xfId="1" applyNumberFormat="1" applyFont="1" applyFill="1" applyBorder="1">
      <alignment vertical="center"/>
    </xf>
    <xf numFmtId="0" fontId="27" fillId="0" borderId="10" xfId="1" applyFont="1" applyFill="1" applyBorder="1" applyAlignment="1">
      <alignment vertical="center"/>
    </xf>
    <xf numFmtId="0" fontId="27" fillId="0" borderId="10" xfId="1" applyFont="1" applyFill="1" applyBorder="1" applyAlignment="1">
      <alignment horizontal="left" vertical="top" shrinkToFit="1"/>
    </xf>
    <xf numFmtId="186" fontId="27" fillId="0" borderId="34" xfId="1" applyNumberFormat="1" applyFont="1" applyFill="1" applyBorder="1">
      <alignment vertical="center"/>
    </xf>
    <xf numFmtId="0" fontId="27" fillId="5" borderId="34" xfId="1" applyFont="1" applyFill="1" applyBorder="1">
      <alignment vertical="center"/>
    </xf>
    <xf numFmtId="0" fontId="27" fillId="9" borderId="34" xfId="1" applyFont="1" applyFill="1" applyBorder="1">
      <alignment vertical="center"/>
    </xf>
    <xf numFmtId="0" fontId="27" fillId="5" borderId="11" xfId="1" applyFont="1" applyFill="1" applyBorder="1">
      <alignment vertical="center"/>
    </xf>
    <xf numFmtId="0" fontId="27" fillId="10" borderId="34" xfId="1" applyFont="1" applyFill="1" applyBorder="1" applyAlignment="1">
      <alignment vertical="center" shrinkToFit="1"/>
    </xf>
    <xf numFmtId="0" fontId="28" fillId="10" borderId="34" xfId="1" applyFont="1" applyFill="1" applyBorder="1" applyAlignment="1">
      <alignment horizontal="left" vertical="center"/>
    </xf>
    <xf numFmtId="0" fontId="27" fillId="0" borderId="34" xfId="1" applyFont="1" applyFill="1" applyBorder="1" applyAlignment="1">
      <alignment vertical="center" shrinkToFit="1"/>
    </xf>
    <xf numFmtId="0" fontId="27" fillId="0" borderId="31" xfId="1" applyFont="1" applyFill="1" applyBorder="1" applyAlignment="1">
      <alignment horizontal="center" vertical="center" shrinkToFit="1"/>
    </xf>
    <xf numFmtId="0" fontId="27" fillId="0" borderId="31" xfId="1" applyFont="1" applyFill="1" applyBorder="1" applyAlignment="1">
      <alignment horizontal="center" vertical="center"/>
    </xf>
    <xf numFmtId="0" fontId="27" fillId="0" borderId="0" xfId="2" applyFont="1" applyFill="1" applyBorder="1" applyAlignment="1">
      <alignment horizontal="left" vertical="top" wrapText="1"/>
    </xf>
    <xf numFmtId="0" fontId="0" fillId="0" borderId="36" xfId="0" applyBorder="1" applyAlignment="1">
      <alignment vertical="center" shrinkToFit="1"/>
    </xf>
    <xf numFmtId="0" fontId="0" fillId="0" borderId="0" xfId="0" applyBorder="1" applyAlignment="1">
      <alignment vertical="center" shrinkToFit="1"/>
    </xf>
    <xf numFmtId="0" fontId="27" fillId="0" borderId="0" xfId="2" applyFont="1" applyFill="1" applyBorder="1" applyAlignment="1">
      <alignment vertical="center"/>
    </xf>
    <xf numFmtId="0" fontId="27" fillId="0" borderId="33" xfId="1" applyFont="1" applyFill="1" applyBorder="1">
      <alignment vertical="center"/>
    </xf>
    <xf numFmtId="186" fontId="27" fillId="0" borderId="2" xfId="1" applyNumberFormat="1" applyFont="1" applyFill="1" applyBorder="1" applyAlignment="1">
      <alignment horizontal="center" vertical="center"/>
    </xf>
    <xf numFmtId="185" fontId="27" fillId="0" borderId="2" xfId="1" applyNumberFormat="1" applyFont="1" applyFill="1" applyBorder="1" applyAlignment="1">
      <alignment horizontal="center" vertical="center"/>
    </xf>
    <xf numFmtId="0" fontId="27" fillId="0" borderId="0" xfId="1" applyFont="1" applyFill="1" applyBorder="1" applyAlignment="1">
      <alignment horizontal="left" vertical="center"/>
    </xf>
    <xf numFmtId="0" fontId="30" fillId="0" borderId="0" xfId="1" applyFont="1" applyFill="1" applyBorder="1" applyAlignment="1">
      <alignment horizontal="left" vertical="center" wrapText="1"/>
    </xf>
    <xf numFmtId="0" fontId="27" fillId="0" borderId="0" xfId="1" applyFont="1" applyFill="1" applyBorder="1" applyAlignment="1">
      <alignment horizontal="left" vertical="center" wrapText="1"/>
    </xf>
    <xf numFmtId="0" fontId="20" fillId="0" borderId="0" xfId="1" applyFont="1" applyFill="1" applyAlignment="1">
      <alignment horizontal="left" vertical="center"/>
    </xf>
    <xf numFmtId="0" fontId="27" fillId="0" borderId="0" xfId="1" applyFont="1" applyFill="1" applyBorder="1" applyAlignment="1">
      <alignment horizontal="center" vertical="center"/>
    </xf>
    <xf numFmtId="0" fontId="27" fillId="0" borderId="0" xfId="1" applyFont="1" applyFill="1" applyBorder="1" applyAlignment="1">
      <alignment vertical="center"/>
    </xf>
    <xf numFmtId="0" fontId="27" fillId="0" borderId="0" xfId="1" applyFont="1" applyFill="1" applyBorder="1" applyAlignment="1">
      <alignment horizontal="left" vertical="top"/>
    </xf>
    <xf numFmtId="0" fontId="20" fillId="0" borderId="36" xfId="1" applyFont="1" applyFill="1" applyBorder="1" applyAlignment="1">
      <alignment horizontal="center" vertical="center"/>
    </xf>
    <xf numFmtId="0" fontId="20" fillId="0" borderId="36" xfId="1" applyFont="1" applyFill="1" applyBorder="1">
      <alignment vertical="center"/>
    </xf>
    <xf numFmtId="0" fontId="31" fillId="0" borderId="36" xfId="1" applyFont="1" applyFill="1" applyBorder="1" applyAlignment="1">
      <alignment horizontal="left" vertical="center"/>
    </xf>
    <xf numFmtId="186" fontId="20" fillId="0" borderId="0" xfId="1" applyNumberFormat="1" applyFont="1" applyFill="1" applyBorder="1" applyAlignment="1">
      <alignment horizontal="center" vertical="center"/>
    </xf>
    <xf numFmtId="185" fontId="20" fillId="0" borderId="0" xfId="1" applyNumberFormat="1" applyFont="1" applyFill="1" applyBorder="1" applyAlignment="1">
      <alignment horizontal="center" vertical="center"/>
    </xf>
    <xf numFmtId="185" fontId="20" fillId="0" borderId="0" xfId="1" applyNumberFormat="1" applyFont="1" applyFill="1" applyBorder="1">
      <alignment vertical="center"/>
    </xf>
    <xf numFmtId="0" fontId="20" fillId="0" borderId="0" xfId="1" applyFont="1" applyFill="1" applyBorder="1">
      <alignment vertical="center"/>
    </xf>
    <xf numFmtId="0" fontId="27" fillId="0" borderId="0" xfId="1" applyFont="1" applyFill="1" applyBorder="1" applyAlignment="1">
      <alignment vertical="center" wrapText="1"/>
    </xf>
    <xf numFmtId="0" fontId="20" fillId="0" borderId="0" xfId="1" applyFont="1" applyFill="1" applyBorder="1" applyAlignment="1">
      <alignment horizontal="left" vertical="center"/>
    </xf>
    <xf numFmtId="0" fontId="20" fillId="0" borderId="0" xfId="1" applyFont="1" applyFill="1" applyBorder="1" applyAlignment="1">
      <alignment vertical="center" wrapText="1"/>
    </xf>
    <xf numFmtId="0" fontId="20" fillId="0" borderId="0" xfId="1" applyFont="1" applyFill="1" applyBorder="1" applyAlignment="1">
      <alignment horizontal="left" vertical="top" wrapText="1"/>
    </xf>
    <xf numFmtId="185" fontId="27" fillId="0" borderId="2" xfId="1" applyNumberFormat="1" applyFont="1" applyFill="1" applyBorder="1" applyAlignment="1">
      <alignment horizontal="center" vertical="center"/>
    </xf>
    <xf numFmtId="0" fontId="27" fillId="0" borderId="0" xfId="1" applyFont="1" applyFill="1" applyBorder="1" applyAlignment="1">
      <alignment horizontal="center" vertical="center"/>
    </xf>
    <xf numFmtId="0" fontId="27" fillId="0" borderId="34" xfId="2" applyFont="1" applyFill="1" applyBorder="1" applyAlignment="1">
      <alignment horizontal="left" vertical="top" wrapText="1"/>
    </xf>
    <xf numFmtId="0" fontId="27" fillId="0" borderId="11" xfId="2" applyFont="1" applyFill="1" applyBorder="1" applyAlignment="1">
      <alignment horizontal="left" vertical="top" wrapText="1"/>
    </xf>
    <xf numFmtId="0" fontId="27" fillId="0" borderId="10" xfId="2" applyFont="1" applyFill="1" applyBorder="1" applyAlignment="1">
      <alignment horizontal="left" vertical="top" wrapText="1"/>
    </xf>
    <xf numFmtId="0" fontId="27" fillId="0" borderId="2" xfId="1" applyFont="1" applyFill="1" applyBorder="1" applyAlignment="1">
      <alignment horizontal="center" vertical="center"/>
    </xf>
    <xf numFmtId="0" fontId="27" fillId="0" borderId="31" xfId="1" applyFont="1" applyFill="1" applyBorder="1" applyAlignment="1">
      <alignment horizontal="center" vertical="center"/>
    </xf>
    <xf numFmtId="0" fontId="27" fillId="0" borderId="32" xfId="1" applyFont="1" applyFill="1" applyBorder="1" applyAlignment="1">
      <alignment horizontal="center" vertical="center"/>
    </xf>
    <xf numFmtId="0" fontId="27" fillId="0" borderId="33" xfId="1" applyFont="1" applyFill="1" applyBorder="1" applyAlignment="1">
      <alignment horizontal="center" vertical="center"/>
    </xf>
    <xf numFmtId="0" fontId="27" fillId="0" borderId="36" xfId="1" applyFont="1" applyFill="1" applyBorder="1" applyAlignment="1">
      <alignment horizontal="left" vertical="center" shrinkToFit="1"/>
    </xf>
    <xf numFmtId="0" fontId="0" fillId="0" borderId="36" xfId="0" applyBorder="1" applyAlignment="1">
      <alignment vertical="center" shrinkToFit="1"/>
    </xf>
    <xf numFmtId="0" fontId="27" fillId="0" borderId="2" xfId="1" applyFont="1" applyFill="1" applyBorder="1" applyAlignment="1">
      <alignment horizontal="center" vertical="center" wrapText="1"/>
    </xf>
    <xf numFmtId="0" fontId="28" fillId="0" borderId="2" xfId="1" applyFont="1" applyFill="1" applyBorder="1" applyAlignment="1">
      <alignment horizontal="left" vertical="top" wrapText="1"/>
    </xf>
    <xf numFmtId="0" fontId="8" fillId="0" borderId="2" xfId="1" applyFont="1" applyFill="1" applyBorder="1" applyAlignment="1">
      <alignment horizontal="left" vertical="top" wrapText="1"/>
    </xf>
    <xf numFmtId="0" fontId="28" fillId="0" borderId="34" xfId="1" applyFont="1" applyFill="1" applyBorder="1" applyAlignment="1">
      <alignment horizontal="left" vertical="top" wrapText="1"/>
    </xf>
    <xf numFmtId="0" fontId="28" fillId="0" borderId="11" xfId="1" applyFont="1" applyFill="1" applyBorder="1" applyAlignment="1">
      <alignment horizontal="left" vertical="top" wrapText="1"/>
    </xf>
    <xf numFmtId="0" fontId="28" fillId="0" borderId="10" xfId="1" applyFont="1" applyFill="1" applyBorder="1" applyAlignment="1">
      <alignment horizontal="left" vertical="top" wrapText="1"/>
    </xf>
    <xf numFmtId="0" fontId="27" fillId="8" borderId="35" xfId="1" applyFont="1" applyFill="1" applyBorder="1" applyAlignment="1">
      <alignment horizontal="center" vertical="center"/>
    </xf>
    <xf numFmtId="0" fontId="27" fillId="8" borderId="36" xfId="1" applyFont="1" applyFill="1" applyBorder="1" applyAlignment="1">
      <alignment horizontal="center" vertical="center"/>
    </xf>
    <xf numFmtId="0" fontId="27" fillId="8" borderId="37" xfId="1" applyFont="1" applyFill="1" applyBorder="1" applyAlignment="1">
      <alignment horizontal="center" vertical="center"/>
    </xf>
    <xf numFmtId="0" fontId="27" fillId="8" borderId="21" xfId="1" applyFont="1" applyFill="1" applyBorder="1" applyAlignment="1">
      <alignment horizontal="center" vertical="center"/>
    </xf>
    <xf numFmtId="0" fontId="27" fillId="8" borderId="38" xfId="1" applyFont="1" applyFill="1" applyBorder="1" applyAlignment="1">
      <alignment horizontal="center" vertical="center"/>
    </xf>
    <xf numFmtId="0" fontId="27" fillId="8" borderId="18" xfId="1" applyFont="1" applyFill="1" applyBorder="1" applyAlignment="1">
      <alignment horizontal="center" vertical="center"/>
    </xf>
    <xf numFmtId="0" fontId="27" fillId="0" borderId="2" xfId="1" applyFont="1" applyFill="1" applyBorder="1" applyAlignment="1">
      <alignment horizontal="center" vertical="center" textRotation="255"/>
    </xf>
    <xf numFmtId="0" fontId="27" fillId="0" borderId="34" xfId="1" applyFont="1" applyFill="1" applyBorder="1" applyAlignment="1">
      <alignment horizontal="left" vertical="top" wrapText="1"/>
    </xf>
    <xf numFmtId="0" fontId="27" fillId="0" borderId="11" xfId="1" applyFont="1" applyFill="1" applyBorder="1" applyAlignment="1">
      <alignment horizontal="left" vertical="top" wrapText="1"/>
    </xf>
    <xf numFmtId="0" fontId="27" fillId="0" borderId="10" xfId="1" applyFont="1" applyFill="1" applyBorder="1" applyAlignment="1">
      <alignment horizontal="left" vertical="top" wrapText="1"/>
    </xf>
    <xf numFmtId="0" fontId="27" fillId="0" borderId="2" xfId="1" applyFont="1" applyFill="1" applyBorder="1" applyAlignment="1">
      <alignment vertical="center"/>
    </xf>
    <xf numFmtId="0" fontId="27" fillId="0" borderId="2" xfId="1" applyFont="1" applyFill="1" applyBorder="1" applyAlignment="1">
      <alignment horizontal="center" vertical="center" textRotation="255" shrinkToFit="1"/>
    </xf>
    <xf numFmtId="0" fontId="27" fillId="11" borderId="2" xfId="1" applyFont="1" applyFill="1" applyBorder="1" applyAlignment="1">
      <alignment horizontal="center" vertical="center" wrapText="1"/>
    </xf>
    <xf numFmtId="0" fontId="27" fillId="11" borderId="2" xfId="1" applyFont="1" applyFill="1" applyBorder="1" applyAlignment="1">
      <alignment vertical="center"/>
    </xf>
    <xf numFmtId="0" fontId="27" fillId="11" borderId="2" xfId="1" applyFont="1" applyFill="1" applyBorder="1" applyAlignment="1">
      <alignment horizontal="center" vertical="center" textRotation="255" shrinkToFit="1"/>
    </xf>
    <xf numFmtId="0" fontId="27" fillId="11" borderId="2" xfId="1" applyFont="1" applyFill="1" applyBorder="1" applyAlignment="1">
      <alignment horizontal="center" vertical="center"/>
    </xf>
    <xf numFmtId="0" fontId="27" fillId="0" borderId="2" xfId="1" applyFont="1" applyFill="1" applyBorder="1" applyAlignment="1">
      <alignment vertical="center" textRotation="255"/>
    </xf>
    <xf numFmtId="0" fontId="27" fillId="0" borderId="2" xfId="1" applyFont="1" applyFill="1" applyBorder="1" applyAlignment="1">
      <alignment vertical="center" wrapText="1"/>
    </xf>
    <xf numFmtId="0" fontId="26" fillId="0" borderId="22"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6" fillId="0" borderId="21" xfId="1" applyFont="1" applyFill="1" applyBorder="1" applyAlignment="1">
      <alignment horizontal="center" vertical="center" wrapText="1"/>
    </xf>
    <xf numFmtId="0" fontId="26" fillId="0" borderId="18" xfId="1" applyFont="1" applyFill="1" applyBorder="1" applyAlignment="1">
      <alignment horizontal="center" vertical="center" wrapText="1"/>
    </xf>
    <xf numFmtId="0" fontId="20" fillId="0" borderId="11" xfId="2" applyFont="1" applyBorder="1" applyAlignment="1">
      <alignment horizontal="center" wrapText="1" shrinkToFit="1"/>
    </xf>
    <xf numFmtId="0" fontId="20" fillId="0" borderId="10" xfId="2" applyFont="1" applyBorder="1" applyAlignment="1">
      <alignment horizontal="center" wrapText="1" shrinkToFit="1"/>
    </xf>
    <xf numFmtId="0" fontId="27" fillId="0" borderId="34" xfId="1" applyFont="1" applyFill="1" applyBorder="1" applyAlignment="1">
      <alignment horizontal="center" vertical="center" textRotation="255" wrapText="1"/>
    </xf>
    <xf numFmtId="0" fontId="27" fillId="0" borderId="11" xfId="1" applyFont="1" applyFill="1" applyBorder="1" applyAlignment="1">
      <alignment horizontal="center" vertical="center" textRotation="255"/>
    </xf>
    <xf numFmtId="0" fontId="27" fillId="0" borderId="10" xfId="1" applyFont="1" applyFill="1" applyBorder="1" applyAlignment="1">
      <alignment horizontal="center" vertical="center" textRotation="255"/>
    </xf>
    <xf numFmtId="0" fontId="20" fillId="0" borderId="34" xfId="1" applyFont="1" applyFill="1" applyBorder="1" applyAlignment="1">
      <alignment horizontal="center" vertical="center" wrapText="1"/>
    </xf>
    <xf numFmtId="0" fontId="20" fillId="0" borderId="11" xfId="1" applyFont="1" applyFill="1" applyBorder="1" applyAlignment="1">
      <alignment horizontal="center" vertical="center"/>
    </xf>
    <xf numFmtId="0" fontId="20" fillId="0" borderId="10" xfId="1" applyFont="1" applyFill="1" applyBorder="1" applyAlignment="1">
      <alignment horizontal="center" vertical="center"/>
    </xf>
    <xf numFmtId="0" fontId="25" fillId="0" borderId="31" xfId="1" applyFont="1" applyFill="1" applyBorder="1" applyAlignment="1">
      <alignment horizontal="center" vertical="center" wrapText="1"/>
    </xf>
    <xf numFmtId="0" fontId="25" fillId="0" borderId="32" xfId="1" applyFont="1" applyFill="1" applyBorder="1" applyAlignment="1">
      <alignment horizontal="center" vertical="center" wrapText="1"/>
    </xf>
    <xf numFmtId="0" fontId="25" fillId="0" borderId="33" xfId="1" applyFont="1" applyFill="1" applyBorder="1" applyAlignment="1">
      <alignment horizontal="center" vertical="center" wrapText="1"/>
    </xf>
    <xf numFmtId="0" fontId="20" fillId="0" borderId="34" xfId="1" applyFont="1" applyFill="1" applyBorder="1" applyAlignment="1">
      <alignment horizontal="center" vertical="center" shrinkToFit="1"/>
    </xf>
    <xf numFmtId="0" fontId="20" fillId="0" borderId="11" xfId="1" applyFont="1" applyFill="1" applyBorder="1" applyAlignment="1">
      <alignment horizontal="center" vertical="center" shrinkToFit="1"/>
    </xf>
    <xf numFmtId="0" fontId="20" fillId="0" borderId="10" xfId="1" applyFont="1" applyFill="1" applyBorder="1" applyAlignment="1">
      <alignment horizontal="center" vertical="center" shrinkToFit="1"/>
    </xf>
    <xf numFmtId="0" fontId="20" fillId="2" borderId="2" xfId="1" applyFont="1" applyFill="1" applyBorder="1" applyAlignment="1">
      <alignment horizontal="center" vertical="center" wrapText="1" shrinkToFit="1"/>
    </xf>
    <xf numFmtId="0" fontId="20" fillId="3" borderId="2" xfId="1" applyFont="1" applyFill="1" applyBorder="1" applyAlignment="1">
      <alignment horizontal="center" vertical="center" wrapText="1" shrinkToFit="1"/>
    </xf>
    <xf numFmtId="0" fontId="20" fillId="4" borderId="2" xfId="1" applyFont="1" applyFill="1" applyBorder="1" applyAlignment="1">
      <alignment horizontal="center" vertical="center" wrapText="1" shrinkToFit="1"/>
    </xf>
    <xf numFmtId="0" fontId="22" fillId="5" borderId="2" xfId="1" applyFont="1" applyFill="1" applyBorder="1" applyAlignment="1">
      <alignment horizontal="center" vertical="center" textRotation="255" shrinkToFit="1"/>
    </xf>
    <xf numFmtId="0" fontId="23" fillId="0" borderId="2" xfId="1" applyFont="1" applyFill="1" applyBorder="1" applyAlignment="1">
      <alignment horizontal="center" vertical="center" textRotation="255"/>
    </xf>
    <xf numFmtId="0" fontId="20" fillId="0" borderId="2" xfId="1" applyFont="1" applyFill="1" applyBorder="1" applyAlignment="1">
      <alignment horizontal="right" vertical="center"/>
    </xf>
    <xf numFmtId="0" fontId="20" fillId="0" borderId="2" xfId="1" applyFont="1" applyFill="1" applyBorder="1" applyAlignment="1">
      <alignment horizontal="center" vertical="center"/>
    </xf>
    <xf numFmtId="0" fontId="24" fillId="0" borderId="2" xfId="1" applyFont="1" applyFill="1" applyBorder="1" applyAlignment="1">
      <alignment horizontal="left" vertical="center"/>
    </xf>
    <xf numFmtId="0" fontId="20" fillId="0" borderId="31" xfId="1" applyFont="1" applyFill="1" applyBorder="1" applyAlignment="1">
      <alignment horizontal="center" vertical="center"/>
    </xf>
    <xf numFmtId="0" fontId="20" fillId="0" borderId="32" xfId="1" applyFont="1" applyFill="1" applyBorder="1" applyAlignment="1">
      <alignment horizontal="center" vertical="center"/>
    </xf>
    <xf numFmtId="0" fontId="20" fillId="0" borderId="33" xfId="1" applyFont="1" applyFill="1" applyBorder="1" applyAlignment="1">
      <alignment horizontal="center" vertical="center"/>
    </xf>
    <xf numFmtId="0" fontId="2" fillId="0" borderId="0" xfId="1" applyFont="1" applyAlignment="1">
      <alignment horizontal="center" vertical="center"/>
    </xf>
    <xf numFmtId="0" fontId="0" fillId="0" borderId="0" xfId="0" applyAlignment="1">
      <alignment horizontal="center" vertical="center"/>
    </xf>
    <xf numFmtId="0" fontId="4" fillId="0" borderId="31" xfId="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5" fillId="0" borderId="28" xfId="1" applyFont="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7" fillId="0" borderId="0" xfId="1" applyFont="1" applyAlignment="1">
      <alignment horizontal="center" vertical="center" shrinkToFit="1"/>
    </xf>
    <xf numFmtId="0" fontId="10" fillId="0" borderId="0" xfId="1" applyFont="1" applyAlignment="1">
      <alignment horizontal="center" vertical="center" shrinkToFit="1"/>
    </xf>
  </cellXfs>
  <cellStyles count="4">
    <cellStyle name="標準" xfId="0" builtinId="0"/>
    <cellStyle name="標準 2" xfId="1"/>
    <cellStyle name="標準 2 16"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xdr:from>
      <xdr:col>13</xdr:col>
      <xdr:colOff>60960</xdr:colOff>
      <xdr:row>72</xdr:row>
      <xdr:rowOff>129540</xdr:rowOff>
    </xdr:from>
    <xdr:to>
      <xdr:col>14</xdr:col>
      <xdr:colOff>129540</xdr:colOff>
      <xdr:row>79</xdr:row>
      <xdr:rowOff>91440</xdr:rowOff>
    </xdr:to>
    <xdr:grpSp>
      <xdr:nvGrpSpPr>
        <xdr:cNvPr id="34855" name="グループ化 17"/>
        <xdr:cNvGrpSpPr>
          <a:grpSpLocks/>
        </xdr:cNvGrpSpPr>
      </xdr:nvGrpSpPr>
      <xdr:grpSpPr bwMode="auto">
        <a:xfrm>
          <a:off x="8225246" y="12114711"/>
          <a:ext cx="1146265" cy="1104900"/>
          <a:chOff x="5094162" y="13729221"/>
          <a:chExt cx="1685722" cy="1137291"/>
        </a:xfrm>
      </xdr:grpSpPr>
      <xdr:sp macro="" textlink="">
        <xdr:nvSpPr>
          <xdr:cNvPr id="3" name="テキスト ボックス 2">
            <a:extLst>
              <a:ext uri="{FF2B5EF4-FFF2-40B4-BE49-F238E27FC236}"/>
            </a:extLst>
          </xdr:cNvPr>
          <xdr:cNvSpPr txBox="1"/>
        </xdr:nvSpPr>
        <xdr:spPr bwMode="auto">
          <a:xfrm>
            <a:off x="5094162" y="13843713"/>
            <a:ext cx="1685722" cy="102279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34890" name="図 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891" name="図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182880</xdr:colOff>
      <xdr:row>0</xdr:row>
      <xdr:rowOff>114300</xdr:rowOff>
    </xdr:from>
    <xdr:to>
      <xdr:col>17</xdr:col>
      <xdr:colOff>1226820</xdr:colOff>
      <xdr:row>6</xdr:row>
      <xdr:rowOff>0</xdr:rowOff>
    </xdr:to>
    <xdr:pic>
      <xdr:nvPicPr>
        <xdr:cNvPr id="34856" name="図 84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67900" y="114300"/>
          <a:ext cx="127254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495300</xdr:colOff>
      <xdr:row>0</xdr:row>
      <xdr:rowOff>0</xdr:rowOff>
    </xdr:from>
    <xdr:to>
      <xdr:col>18</xdr:col>
      <xdr:colOff>769620</xdr:colOff>
      <xdr:row>1</xdr:row>
      <xdr:rowOff>99060</xdr:rowOff>
    </xdr:to>
    <xdr:pic>
      <xdr:nvPicPr>
        <xdr:cNvPr id="34857" name="図 84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08920" y="0"/>
          <a:ext cx="210312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38100</xdr:colOff>
      <xdr:row>72</xdr:row>
      <xdr:rowOff>121920</xdr:rowOff>
    </xdr:from>
    <xdr:to>
      <xdr:col>28</xdr:col>
      <xdr:colOff>708660</xdr:colOff>
      <xdr:row>77</xdr:row>
      <xdr:rowOff>76200</xdr:rowOff>
    </xdr:to>
    <xdr:pic>
      <xdr:nvPicPr>
        <xdr:cNvPr id="34858" name="図 84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564100" y="12412980"/>
          <a:ext cx="67056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0</xdr:colOff>
      <xdr:row>74</xdr:row>
      <xdr:rowOff>30480</xdr:rowOff>
    </xdr:from>
    <xdr:to>
      <xdr:col>27</xdr:col>
      <xdr:colOff>708660</xdr:colOff>
      <xdr:row>76</xdr:row>
      <xdr:rowOff>114300</xdr:rowOff>
    </xdr:to>
    <xdr:pic>
      <xdr:nvPicPr>
        <xdr:cNvPr id="34859" name="図 842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512540" y="12656820"/>
          <a:ext cx="990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274320</xdr:colOff>
      <xdr:row>0</xdr:row>
      <xdr:rowOff>15240</xdr:rowOff>
    </xdr:from>
    <xdr:to>
      <xdr:col>26</xdr:col>
      <xdr:colOff>22860</xdr:colOff>
      <xdr:row>2</xdr:row>
      <xdr:rowOff>30480</xdr:rowOff>
    </xdr:to>
    <xdr:pic>
      <xdr:nvPicPr>
        <xdr:cNvPr id="34860" name="図 842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331440" y="15240"/>
          <a:ext cx="120396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731520</xdr:colOff>
      <xdr:row>0</xdr:row>
      <xdr:rowOff>38100</xdr:rowOff>
    </xdr:from>
    <xdr:to>
      <xdr:col>20</xdr:col>
      <xdr:colOff>91440</xdr:colOff>
      <xdr:row>1</xdr:row>
      <xdr:rowOff>7620</xdr:rowOff>
    </xdr:to>
    <xdr:pic>
      <xdr:nvPicPr>
        <xdr:cNvPr id="34861" name="図 843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578840" y="38100"/>
          <a:ext cx="4648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1028700</xdr:colOff>
      <xdr:row>0</xdr:row>
      <xdr:rowOff>15240</xdr:rowOff>
    </xdr:from>
    <xdr:to>
      <xdr:col>19</xdr:col>
      <xdr:colOff>388620</xdr:colOff>
      <xdr:row>0</xdr:row>
      <xdr:rowOff>411480</xdr:rowOff>
    </xdr:to>
    <xdr:pic>
      <xdr:nvPicPr>
        <xdr:cNvPr id="34862" name="図 8434"/>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771120" y="1524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975360</xdr:colOff>
      <xdr:row>23</xdr:row>
      <xdr:rowOff>114300</xdr:rowOff>
    </xdr:from>
    <xdr:to>
      <xdr:col>21</xdr:col>
      <xdr:colOff>1028700</xdr:colOff>
      <xdr:row>25</xdr:row>
      <xdr:rowOff>137160</xdr:rowOff>
    </xdr:to>
    <xdr:pic>
      <xdr:nvPicPr>
        <xdr:cNvPr id="34863" name="図 843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27580" y="4191000"/>
          <a:ext cx="115824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182880</xdr:colOff>
      <xdr:row>0</xdr:row>
      <xdr:rowOff>53340</xdr:rowOff>
    </xdr:from>
    <xdr:to>
      <xdr:col>27</xdr:col>
      <xdr:colOff>548640</xdr:colOff>
      <xdr:row>1</xdr:row>
      <xdr:rowOff>38100</xdr:rowOff>
    </xdr:to>
    <xdr:pic>
      <xdr:nvPicPr>
        <xdr:cNvPr id="34864" name="図 8438"/>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695420" y="53340"/>
          <a:ext cx="647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259080</xdr:colOff>
      <xdr:row>0</xdr:row>
      <xdr:rowOff>129540</xdr:rowOff>
    </xdr:from>
    <xdr:to>
      <xdr:col>28</xdr:col>
      <xdr:colOff>815340</xdr:colOff>
      <xdr:row>2</xdr:row>
      <xdr:rowOff>7620</xdr:rowOff>
    </xdr:to>
    <xdr:pic>
      <xdr:nvPicPr>
        <xdr:cNvPr id="34865" name="図 8440"/>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7785080" y="129540"/>
          <a:ext cx="5562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952500</xdr:colOff>
      <xdr:row>3</xdr:row>
      <xdr:rowOff>15240</xdr:rowOff>
    </xdr:from>
    <xdr:to>
      <xdr:col>18</xdr:col>
      <xdr:colOff>68580</xdr:colOff>
      <xdr:row>5</xdr:row>
      <xdr:rowOff>83820</xdr:rowOff>
    </xdr:to>
    <xdr:pic>
      <xdr:nvPicPr>
        <xdr:cNvPr id="34866" name="図 844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rot="-1119386">
          <a:off x="10866120" y="739140"/>
          <a:ext cx="944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396240</xdr:colOff>
      <xdr:row>0</xdr:row>
      <xdr:rowOff>106680</xdr:rowOff>
    </xdr:from>
    <xdr:to>
      <xdr:col>21</xdr:col>
      <xdr:colOff>68580</xdr:colOff>
      <xdr:row>0</xdr:row>
      <xdr:rowOff>403860</xdr:rowOff>
    </xdr:to>
    <xdr:pic>
      <xdr:nvPicPr>
        <xdr:cNvPr id="34867" name="図 844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348460" y="106680"/>
          <a:ext cx="7772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0</xdr:row>
      <xdr:rowOff>76200</xdr:rowOff>
    </xdr:from>
    <xdr:to>
      <xdr:col>2</xdr:col>
      <xdr:colOff>1714500</xdr:colOff>
      <xdr:row>5</xdr:row>
      <xdr:rowOff>160020</xdr:rowOff>
    </xdr:to>
    <xdr:pic>
      <xdr:nvPicPr>
        <xdr:cNvPr id="34868" name="図 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47700" y="76200"/>
          <a:ext cx="1600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1082040</xdr:colOff>
      <xdr:row>50</xdr:row>
      <xdr:rowOff>99060</xdr:rowOff>
    </xdr:from>
    <xdr:to>
      <xdr:col>17</xdr:col>
      <xdr:colOff>1775460</xdr:colOff>
      <xdr:row>54</xdr:row>
      <xdr:rowOff>144780</xdr:rowOff>
    </xdr:to>
    <xdr:pic>
      <xdr:nvPicPr>
        <xdr:cNvPr id="34869" name="図 9"/>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995660" y="8702040"/>
          <a:ext cx="69342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1135380</xdr:colOff>
      <xdr:row>56</xdr:row>
      <xdr:rowOff>15240</xdr:rowOff>
    </xdr:from>
    <xdr:to>
      <xdr:col>2</xdr:col>
      <xdr:colOff>1798320</xdr:colOff>
      <xdr:row>60</xdr:row>
      <xdr:rowOff>15240</xdr:rowOff>
    </xdr:to>
    <xdr:pic>
      <xdr:nvPicPr>
        <xdr:cNvPr id="34870" name="図 13"/>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668780" y="9624060"/>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0</xdr:row>
      <xdr:rowOff>53340</xdr:rowOff>
    </xdr:from>
    <xdr:to>
      <xdr:col>3</xdr:col>
      <xdr:colOff>853440</xdr:colOff>
      <xdr:row>3</xdr:row>
      <xdr:rowOff>129540</xdr:rowOff>
    </xdr:to>
    <xdr:pic>
      <xdr:nvPicPr>
        <xdr:cNvPr id="34871" name="図 15"/>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77440" y="53340"/>
          <a:ext cx="838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xdr:colOff>
      <xdr:row>0</xdr:row>
      <xdr:rowOff>167640</xdr:rowOff>
    </xdr:from>
    <xdr:to>
      <xdr:col>2</xdr:col>
      <xdr:colOff>457200</xdr:colOff>
      <xdr:row>1</xdr:row>
      <xdr:rowOff>121920</xdr:rowOff>
    </xdr:to>
    <xdr:pic>
      <xdr:nvPicPr>
        <xdr:cNvPr id="34872" name="図 17"/>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0480" y="167640"/>
          <a:ext cx="9601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121920</xdr:colOff>
      <xdr:row>0</xdr:row>
      <xdr:rowOff>30480</xdr:rowOff>
    </xdr:from>
    <xdr:to>
      <xdr:col>13</xdr:col>
      <xdr:colOff>525780</xdr:colOff>
      <xdr:row>1</xdr:row>
      <xdr:rowOff>38100</xdr:rowOff>
    </xdr:to>
    <xdr:pic>
      <xdr:nvPicPr>
        <xdr:cNvPr id="34873" name="図 19"/>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03720" y="30480"/>
          <a:ext cx="176784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990600</xdr:colOff>
      <xdr:row>0</xdr:row>
      <xdr:rowOff>53340</xdr:rowOff>
    </xdr:from>
    <xdr:to>
      <xdr:col>4</xdr:col>
      <xdr:colOff>822960</xdr:colOff>
      <xdr:row>0</xdr:row>
      <xdr:rowOff>411480</xdr:rowOff>
    </xdr:to>
    <xdr:pic>
      <xdr:nvPicPr>
        <xdr:cNvPr id="34874" name="図 2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352800" y="53340"/>
          <a:ext cx="9372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624840</xdr:colOff>
      <xdr:row>0</xdr:row>
      <xdr:rowOff>106680</xdr:rowOff>
    </xdr:from>
    <xdr:to>
      <xdr:col>14</xdr:col>
      <xdr:colOff>38100</xdr:colOff>
      <xdr:row>2</xdr:row>
      <xdr:rowOff>38100</xdr:rowOff>
    </xdr:to>
    <xdr:pic>
      <xdr:nvPicPr>
        <xdr:cNvPr id="34875" name="図 23"/>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770620" y="106680"/>
          <a:ext cx="4876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1036320</xdr:colOff>
      <xdr:row>0</xdr:row>
      <xdr:rowOff>91440</xdr:rowOff>
    </xdr:from>
    <xdr:to>
      <xdr:col>5</xdr:col>
      <xdr:colOff>266700</xdr:colOff>
      <xdr:row>0</xdr:row>
      <xdr:rowOff>396240</xdr:rowOff>
    </xdr:to>
    <xdr:pic>
      <xdr:nvPicPr>
        <xdr:cNvPr id="34876" name="図 25"/>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3420" y="91440"/>
          <a:ext cx="3352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571500</xdr:colOff>
      <xdr:row>0</xdr:row>
      <xdr:rowOff>76200</xdr:rowOff>
    </xdr:from>
    <xdr:to>
      <xdr:col>13</xdr:col>
      <xdr:colOff>419100</xdr:colOff>
      <xdr:row>2</xdr:row>
      <xdr:rowOff>30480</xdr:rowOff>
    </xdr:to>
    <xdr:pic>
      <xdr:nvPicPr>
        <xdr:cNvPr id="34877" name="図 27"/>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985760" y="76200"/>
          <a:ext cx="5791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419100</xdr:colOff>
      <xdr:row>0</xdr:row>
      <xdr:rowOff>0</xdr:rowOff>
    </xdr:from>
    <xdr:to>
      <xdr:col>6</xdr:col>
      <xdr:colOff>396240</xdr:colOff>
      <xdr:row>1</xdr:row>
      <xdr:rowOff>38100</xdr:rowOff>
    </xdr:to>
    <xdr:pic>
      <xdr:nvPicPr>
        <xdr:cNvPr id="34878" name="図 8415"/>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991100" y="0"/>
          <a:ext cx="108204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746760</xdr:colOff>
      <xdr:row>0</xdr:row>
      <xdr:rowOff>0</xdr:rowOff>
    </xdr:from>
    <xdr:to>
      <xdr:col>7</xdr:col>
      <xdr:colOff>0</xdr:colOff>
      <xdr:row>1</xdr:row>
      <xdr:rowOff>106680</xdr:rowOff>
    </xdr:to>
    <xdr:pic>
      <xdr:nvPicPr>
        <xdr:cNvPr id="34879" name="図 8417"/>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423660" y="0"/>
          <a:ext cx="3581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xdr:colOff>
      <xdr:row>76</xdr:row>
      <xdr:rowOff>0</xdr:rowOff>
    </xdr:from>
    <xdr:to>
      <xdr:col>2</xdr:col>
      <xdr:colOff>647700</xdr:colOff>
      <xdr:row>81</xdr:row>
      <xdr:rowOff>121920</xdr:rowOff>
    </xdr:to>
    <xdr:pic>
      <xdr:nvPicPr>
        <xdr:cNvPr id="34880" name="図 5"/>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5240" y="12961620"/>
          <a:ext cx="116586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373380</xdr:colOff>
      <xdr:row>76</xdr:row>
      <xdr:rowOff>53340</xdr:rowOff>
    </xdr:from>
    <xdr:to>
      <xdr:col>2</xdr:col>
      <xdr:colOff>1737360</xdr:colOff>
      <xdr:row>80</xdr:row>
      <xdr:rowOff>114300</xdr:rowOff>
    </xdr:to>
    <xdr:pic>
      <xdr:nvPicPr>
        <xdr:cNvPr id="34881" name="図 7"/>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06780" y="13014960"/>
          <a:ext cx="136398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929640</xdr:colOff>
      <xdr:row>79</xdr:row>
      <xdr:rowOff>106680</xdr:rowOff>
    </xdr:from>
    <xdr:to>
      <xdr:col>2</xdr:col>
      <xdr:colOff>1592580</xdr:colOff>
      <xdr:row>82</xdr:row>
      <xdr:rowOff>53340</xdr:rowOff>
    </xdr:to>
    <xdr:pic>
      <xdr:nvPicPr>
        <xdr:cNvPr id="34882" name="図 1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463040" y="13571220"/>
          <a:ext cx="66294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152400</xdr:colOff>
      <xdr:row>76</xdr:row>
      <xdr:rowOff>60960</xdr:rowOff>
    </xdr:from>
    <xdr:to>
      <xdr:col>11</xdr:col>
      <xdr:colOff>137160</xdr:colOff>
      <xdr:row>80</xdr:row>
      <xdr:rowOff>83820</xdr:rowOff>
    </xdr:to>
    <xdr:pic>
      <xdr:nvPicPr>
        <xdr:cNvPr id="34883" name="図 8446"/>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829300" y="13022580"/>
          <a:ext cx="144018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533400</xdr:colOff>
      <xdr:row>74</xdr:row>
      <xdr:rowOff>152400</xdr:rowOff>
    </xdr:from>
    <xdr:to>
      <xdr:col>25</xdr:col>
      <xdr:colOff>152400</xdr:colOff>
      <xdr:row>78</xdr:row>
      <xdr:rowOff>45720</xdr:rowOff>
    </xdr:to>
    <xdr:pic>
      <xdr:nvPicPr>
        <xdr:cNvPr id="34884" name="図 8448"/>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4485620" y="12778740"/>
          <a:ext cx="182880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640080</xdr:colOff>
      <xdr:row>76</xdr:row>
      <xdr:rowOff>83820</xdr:rowOff>
    </xdr:from>
    <xdr:to>
      <xdr:col>4</xdr:col>
      <xdr:colOff>777240</xdr:colOff>
      <xdr:row>80</xdr:row>
      <xdr:rowOff>114300</xdr:rowOff>
    </xdr:to>
    <xdr:pic>
      <xdr:nvPicPr>
        <xdr:cNvPr id="34885" name="図 8450"/>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3002280" y="13045440"/>
          <a:ext cx="124206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106680</xdr:colOff>
      <xdr:row>78</xdr:row>
      <xdr:rowOff>38100</xdr:rowOff>
    </xdr:from>
    <xdr:to>
      <xdr:col>5</xdr:col>
      <xdr:colOff>419100</xdr:colOff>
      <xdr:row>79</xdr:row>
      <xdr:rowOff>38100</xdr:rowOff>
    </xdr:to>
    <xdr:pic>
      <xdr:nvPicPr>
        <xdr:cNvPr id="34886" name="図 8452"/>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78680" y="13335000"/>
          <a:ext cx="3124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693420</xdr:colOff>
      <xdr:row>77</xdr:row>
      <xdr:rowOff>83820</xdr:rowOff>
    </xdr:from>
    <xdr:to>
      <xdr:col>4</xdr:col>
      <xdr:colOff>1089660</xdr:colOff>
      <xdr:row>79</xdr:row>
      <xdr:rowOff>91440</xdr:rowOff>
    </xdr:to>
    <xdr:pic>
      <xdr:nvPicPr>
        <xdr:cNvPr id="34887" name="図 8454"/>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160520" y="13213080"/>
          <a:ext cx="39624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541020</xdr:colOff>
      <xdr:row>79</xdr:row>
      <xdr:rowOff>53340</xdr:rowOff>
    </xdr:from>
    <xdr:to>
      <xdr:col>5</xdr:col>
      <xdr:colOff>853440</xdr:colOff>
      <xdr:row>80</xdr:row>
      <xdr:rowOff>60960</xdr:rowOff>
    </xdr:to>
    <xdr:pic>
      <xdr:nvPicPr>
        <xdr:cNvPr id="34888" name="図 7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rot="9201700">
          <a:off x="5113020" y="13517880"/>
          <a:ext cx="3124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220980</xdr:colOff>
      <xdr:row>33</xdr:row>
      <xdr:rowOff>99060</xdr:rowOff>
    </xdr:from>
    <xdr:to>
      <xdr:col>2</xdr:col>
      <xdr:colOff>1607820</xdr:colOff>
      <xdr:row>43</xdr:row>
      <xdr:rowOff>76200</xdr:rowOff>
    </xdr:to>
    <xdr:pic>
      <xdr:nvPicPr>
        <xdr:cNvPr id="14369"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 y="8862060"/>
          <a:ext cx="2926080" cy="2339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137160</xdr:colOff>
      <xdr:row>31</xdr:row>
      <xdr:rowOff>160020</xdr:rowOff>
    </xdr:from>
    <xdr:to>
      <xdr:col>2</xdr:col>
      <xdr:colOff>1623060</xdr:colOff>
      <xdr:row>41</xdr:row>
      <xdr:rowOff>205740</xdr:rowOff>
    </xdr:to>
    <xdr:pic>
      <xdr:nvPicPr>
        <xdr:cNvPr id="31775"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450580"/>
          <a:ext cx="3025140" cy="2407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tabSelected="1" zoomScale="70" zoomScaleNormal="70" workbookViewId="0">
      <selection activeCell="D41" sqref="D41:D45"/>
    </sheetView>
  </sheetViews>
  <sheetFormatPr defaultRowHeight="13.2"/>
  <cols>
    <col min="1" max="1" width="4.44140625" style="104" bestFit="1" customWidth="1"/>
    <col min="2" max="2" width="3.33203125" style="105" bestFit="1" customWidth="1"/>
    <col min="3" max="3" width="26.6640625" style="105" customWidth="1"/>
    <col min="4" max="7" width="16.109375" style="105" customWidth="1"/>
    <col min="8" max="8" width="5.109375" style="106" hidden="1" customWidth="1"/>
    <col min="9" max="9" width="4.109375" style="105" hidden="1" customWidth="1"/>
    <col min="10" max="10" width="10.6640625" style="105" hidden="1" customWidth="1"/>
    <col min="11" max="11" width="5.109375" style="106" customWidth="1"/>
    <col min="12" max="12" width="4.109375" style="105" bestFit="1" customWidth="1"/>
    <col min="13" max="13" width="10.6640625" style="105" customWidth="1"/>
    <col min="14" max="14" width="15.6640625" style="105" customWidth="1"/>
    <col min="15" max="15" width="2.33203125" style="105" customWidth="1"/>
    <col min="16" max="16" width="4.44140625" style="144" bestFit="1" customWidth="1"/>
    <col min="17" max="17" width="3.33203125" style="105" bestFit="1" customWidth="1"/>
    <col min="18" max="18" width="26.6640625" style="105" customWidth="1"/>
    <col min="19" max="22" width="16.109375" style="105" customWidth="1"/>
    <col min="23" max="23" width="5.109375" style="106" hidden="1" customWidth="1"/>
    <col min="24" max="24" width="4.109375" style="105" hidden="1" customWidth="1"/>
    <col min="25" max="25" width="10.6640625" style="105" hidden="1" customWidth="1"/>
    <col min="26" max="26" width="5.109375" style="106" customWidth="1"/>
    <col min="27" max="27" width="4.109375" style="105" bestFit="1" customWidth="1"/>
    <col min="28" max="28" width="10.6640625" style="105" customWidth="1"/>
    <col min="29" max="29" width="15.6640625" style="105" customWidth="1"/>
  </cols>
  <sheetData>
    <row r="1" spans="1:29" ht="25.2" customHeight="1">
      <c r="P1" s="104"/>
    </row>
    <row r="2" spans="1:29" ht="18.600000000000001" customHeight="1">
      <c r="A2" s="215" t="s">
        <v>22</v>
      </c>
      <c r="B2" s="216" t="s">
        <v>364</v>
      </c>
      <c r="C2" s="219"/>
      <c r="D2" s="220" t="s">
        <v>365</v>
      </c>
      <c r="E2" s="221"/>
      <c r="F2" s="222"/>
      <c r="G2" s="203" t="s">
        <v>366</v>
      </c>
      <c r="H2" s="206" t="s">
        <v>367</v>
      </c>
      <c r="I2" s="207"/>
      <c r="J2" s="208"/>
      <c r="K2" s="206" t="s">
        <v>368</v>
      </c>
      <c r="L2" s="207"/>
      <c r="M2" s="208"/>
      <c r="N2" s="209" t="s">
        <v>369</v>
      </c>
      <c r="O2" s="107"/>
      <c r="P2" s="215" t="s">
        <v>370</v>
      </c>
      <c r="Q2" s="216" t="s">
        <v>371</v>
      </c>
      <c r="R2" s="217"/>
      <c r="S2" s="218" t="s">
        <v>365</v>
      </c>
      <c r="T2" s="218"/>
      <c r="U2" s="218"/>
      <c r="V2" s="203" t="s">
        <v>366</v>
      </c>
      <c r="W2" s="206" t="s">
        <v>372</v>
      </c>
      <c r="X2" s="207"/>
      <c r="Y2" s="208"/>
      <c r="Z2" s="206" t="s">
        <v>373</v>
      </c>
      <c r="AA2" s="207"/>
      <c r="AB2" s="208"/>
      <c r="AC2" s="209" t="s">
        <v>3</v>
      </c>
    </row>
    <row r="3" spans="1:29" ht="13.2" customHeight="1">
      <c r="A3" s="215"/>
      <c r="B3" s="216"/>
      <c r="C3" s="219"/>
      <c r="D3" s="212" t="s">
        <v>374</v>
      </c>
      <c r="E3" s="213" t="s">
        <v>375</v>
      </c>
      <c r="F3" s="214" t="s">
        <v>376</v>
      </c>
      <c r="G3" s="204"/>
      <c r="H3" s="194" t="s">
        <v>377</v>
      </c>
      <c r="I3" s="195"/>
      <c r="J3" s="198" t="s">
        <v>378</v>
      </c>
      <c r="K3" s="194" t="s">
        <v>379</v>
      </c>
      <c r="L3" s="195"/>
      <c r="M3" s="198" t="s">
        <v>378</v>
      </c>
      <c r="N3" s="210"/>
      <c r="O3" s="108"/>
      <c r="P3" s="215"/>
      <c r="Q3" s="216"/>
      <c r="R3" s="217"/>
      <c r="S3" s="212" t="s">
        <v>380</v>
      </c>
      <c r="T3" s="213" t="s">
        <v>375</v>
      </c>
      <c r="U3" s="214" t="s">
        <v>376</v>
      </c>
      <c r="V3" s="204"/>
      <c r="W3" s="194" t="s">
        <v>379</v>
      </c>
      <c r="X3" s="195"/>
      <c r="Y3" s="198" t="s">
        <v>381</v>
      </c>
      <c r="Z3" s="194" t="s">
        <v>379</v>
      </c>
      <c r="AA3" s="195"/>
      <c r="AB3" s="198" t="s">
        <v>381</v>
      </c>
      <c r="AC3" s="210"/>
    </row>
    <row r="4" spans="1:29" ht="13.2" customHeight="1">
      <c r="A4" s="215"/>
      <c r="B4" s="216"/>
      <c r="C4" s="219"/>
      <c r="D4" s="212"/>
      <c r="E4" s="213"/>
      <c r="F4" s="214"/>
      <c r="G4" s="204"/>
      <c r="H4" s="194"/>
      <c r="I4" s="195"/>
      <c r="J4" s="198"/>
      <c r="K4" s="194"/>
      <c r="L4" s="195"/>
      <c r="M4" s="198"/>
      <c r="N4" s="210"/>
      <c r="O4" s="108"/>
      <c r="P4" s="215"/>
      <c r="Q4" s="216"/>
      <c r="R4" s="217"/>
      <c r="S4" s="212"/>
      <c r="T4" s="213"/>
      <c r="U4" s="214"/>
      <c r="V4" s="204"/>
      <c r="W4" s="194"/>
      <c r="X4" s="195"/>
      <c r="Y4" s="198"/>
      <c r="Z4" s="194"/>
      <c r="AA4" s="195"/>
      <c r="AB4" s="198"/>
      <c r="AC4" s="210"/>
    </row>
    <row r="5" spans="1:29" ht="13.2" customHeight="1">
      <c r="A5" s="215"/>
      <c r="B5" s="216"/>
      <c r="C5" s="219"/>
      <c r="D5" s="212"/>
      <c r="E5" s="213"/>
      <c r="F5" s="214"/>
      <c r="G5" s="204"/>
      <c r="H5" s="194"/>
      <c r="I5" s="195"/>
      <c r="J5" s="198"/>
      <c r="K5" s="194"/>
      <c r="L5" s="195"/>
      <c r="M5" s="198"/>
      <c r="N5" s="210"/>
      <c r="O5" s="108"/>
      <c r="P5" s="215"/>
      <c r="Q5" s="216"/>
      <c r="R5" s="217"/>
      <c r="S5" s="212"/>
      <c r="T5" s="213"/>
      <c r="U5" s="214"/>
      <c r="V5" s="204"/>
      <c r="W5" s="194"/>
      <c r="X5" s="195"/>
      <c r="Y5" s="198"/>
      <c r="Z5" s="194"/>
      <c r="AA5" s="195"/>
      <c r="AB5" s="198"/>
      <c r="AC5" s="210"/>
    </row>
    <row r="6" spans="1:29" ht="13.2" customHeight="1">
      <c r="A6" s="215"/>
      <c r="B6" s="216"/>
      <c r="C6" s="219"/>
      <c r="D6" s="212"/>
      <c r="E6" s="213"/>
      <c r="F6" s="214"/>
      <c r="G6" s="205"/>
      <c r="H6" s="196"/>
      <c r="I6" s="197"/>
      <c r="J6" s="199"/>
      <c r="K6" s="196"/>
      <c r="L6" s="197"/>
      <c r="M6" s="199"/>
      <c r="N6" s="211"/>
      <c r="O6" s="108"/>
      <c r="P6" s="215"/>
      <c r="Q6" s="216"/>
      <c r="R6" s="217"/>
      <c r="S6" s="212"/>
      <c r="T6" s="213"/>
      <c r="U6" s="214"/>
      <c r="V6" s="205"/>
      <c r="W6" s="196"/>
      <c r="X6" s="197"/>
      <c r="Y6" s="199"/>
      <c r="Z6" s="196"/>
      <c r="AA6" s="197"/>
      <c r="AB6" s="199"/>
      <c r="AC6" s="211"/>
    </row>
    <row r="7" spans="1:29" ht="13.2" customHeight="1">
      <c r="A7" s="182">
        <v>1</v>
      </c>
      <c r="B7" s="200" t="s">
        <v>297</v>
      </c>
      <c r="C7" s="109" t="s">
        <v>24</v>
      </c>
      <c r="D7" s="171" t="s">
        <v>298</v>
      </c>
      <c r="E7" s="171" t="s">
        <v>299</v>
      </c>
      <c r="F7" s="171" t="s">
        <v>300</v>
      </c>
      <c r="G7" s="173" t="s">
        <v>301</v>
      </c>
      <c r="H7" s="110">
        <v>367</v>
      </c>
      <c r="I7" s="111" t="s">
        <v>382</v>
      </c>
      <c r="J7" s="161" t="s">
        <v>383</v>
      </c>
      <c r="K7" s="110">
        <f>367*0.75</f>
        <v>275.25</v>
      </c>
      <c r="L7" s="111" t="s">
        <v>382</v>
      </c>
      <c r="M7" s="161" t="s">
        <v>383</v>
      </c>
      <c r="N7" s="112" t="s">
        <v>45</v>
      </c>
      <c r="O7" s="113"/>
      <c r="P7" s="164">
        <v>16</v>
      </c>
      <c r="Q7" s="164" t="s">
        <v>304</v>
      </c>
      <c r="R7" s="111" t="s">
        <v>25</v>
      </c>
      <c r="S7" s="171" t="s">
        <v>305</v>
      </c>
      <c r="T7" s="171" t="s">
        <v>306</v>
      </c>
      <c r="U7" s="171" t="s">
        <v>307</v>
      </c>
      <c r="V7" s="173" t="s">
        <v>308</v>
      </c>
      <c r="W7" s="110">
        <v>427</v>
      </c>
      <c r="X7" s="111" t="s">
        <v>302</v>
      </c>
      <c r="Y7" s="161" t="s">
        <v>150</v>
      </c>
      <c r="Z7" s="110">
        <f>427*0.75</f>
        <v>320.25</v>
      </c>
      <c r="AA7" s="111" t="s">
        <v>382</v>
      </c>
      <c r="AB7" s="161" t="s">
        <v>150</v>
      </c>
      <c r="AC7" s="112" t="s">
        <v>45</v>
      </c>
    </row>
    <row r="8" spans="1:29">
      <c r="A8" s="182"/>
      <c r="B8" s="201"/>
      <c r="C8" s="115" t="s">
        <v>309</v>
      </c>
      <c r="D8" s="171"/>
      <c r="E8" s="171"/>
      <c r="F8" s="171"/>
      <c r="G8" s="174"/>
      <c r="H8" s="116">
        <v>13.4</v>
      </c>
      <c r="I8" s="117" t="s">
        <v>310</v>
      </c>
      <c r="J8" s="162"/>
      <c r="K8" s="116">
        <f>13.4*0.75</f>
        <v>10.050000000000001</v>
      </c>
      <c r="L8" s="117" t="s">
        <v>310</v>
      </c>
      <c r="M8" s="162"/>
      <c r="N8" s="118" t="s">
        <v>384</v>
      </c>
      <c r="O8" s="113"/>
      <c r="P8" s="186"/>
      <c r="Q8" s="164"/>
      <c r="R8" s="119" t="s">
        <v>79</v>
      </c>
      <c r="S8" s="172"/>
      <c r="T8" s="172"/>
      <c r="U8" s="171"/>
      <c r="V8" s="174"/>
      <c r="W8" s="116">
        <v>13.199999999999998</v>
      </c>
      <c r="X8" s="117" t="s">
        <v>310</v>
      </c>
      <c r="Y8" s="162"/>
      <c r="Z8" s="116">
        <f>13.2*0.75</f>
        <v>9.8999999999999986</v>
      </c>
      <c r="AA8" s="117" t="s">
        <v>385</v>
      </c>
      <c r="AB8" s="162"/>
      <c r="AC8" s="118" t="s">
        <v>386</v>
      </c>
    </row>
    <row r="9" spans="1:29">
      <c r="A9" s="182"/>
      <c r="B9" s="201"/>
      <c r="C9" s="120" t="s">
        <v>48</v>
      </c>
      <c r="D9" s="171"/>
      <c r="E9" s="171"/>
      <c r="F9" s="171"/>
      <c r="G9" s="174"/>
      <c r="H9" s="116">
        <v>10.1</v>
      </c>
      <c r="I9" s="117" t="s">
        <v>385</v>
      </c>
      <c r="J9" s="162"/>
      <c r="K9" s="116">
        <f>10.1*0.75</f>
        <v>7.5749999999999993</v>
      </c>
      <c r="L9" s="117" t="s">
        <v>310</v>
      </c>
      <c r="M9" s="162"/>
      <c r="N9" s="118"/>
      <c r="O9" s="113"/>
      <c r="P9" s="186"/>
      <c r="Q9" s="164"/>
      <c r="R9" s="120" t="s">
        <v>93</v>
      </c>
      <c r="S9" s="172"/>
      <c r="T9" s="172"/>
      <c r="U9" s="171"/>
      <c r="V9" s="174"/>
      <c r="W9" s="116">
        <v>9.5</v>
      </c>
      <c r="X9" s="117" t="s">
        <v>385</v>
      </c>
      <c r="Y9" s="162"/>
      <c r="Z9" s="116">
        <f>9.5*0.75</f>
        <v>7.125</v>
      </c>
      <c r="AA9" s="117" t="s">
        <v>385</v>
      </c>
      <c r="AB9" s="162"/>
      <c r="AC9" s="118"/>
    </row>
    <row r="10" spans="1:29">
      <c r="A10" s="182"/>
      <c r="B10" s="201"/>
      <c r="C10" s="120" t="s">
        <v>59</v>
      </c>
      <c r="D10" s="171"/>
      <c r="E10" s="171"/>
      <c r="F10" s="171"/>
      <c r="G10" s="174"/>
      <c r="H10" s="116">
        <v>54.899999999999991</v>
      </c>
      <c r="I10" s="117" t="s">
        <v>385</v>
      </c>
      <c r="J10" s="162"/>
      <c r="K10" s="116">
        <f>54.9*0.75</f>
        <v>41.174999999999997</v>
      </c>
      <c r="L10" s="117" t="s">
        <v>385</v>
      </c>
      <c r="M10" s="162"/>
      <c r="N10" s="118"/>
      <c r="O10" s="113"/>
      <c r="P10" s="186"/>
      <c r="Q10" s="164"/>
      <c r="R10" s="120" t="s">
        <v>98</v>
      </c>
      <c r="S10" s="172"/>
      <c r="T10" s="172"/>
      <c r="U10" s="171"/>
      <c r="V10" s="174"/>
      <c r="W10" s="116">
        <v>70</v>
      </c>
      <c r="X10" s="117" t="s">
        <v>385</v>
      </c>
      <c r="Y10" s="162"/>
      <c r="Z10" s="116">
        <f>70*0.75</f>
        <v>52.5</v>
      </c>
      <c r="AA10" s="117" t="s">
        <v>385</v>
      </c>
      <c r="AB10" s="162"/>
      <c r="AC10" s="118"/>
    </row>
    <row r="11" spans="1:29">
      <c r="A11" s="182"/>
      <c r="B11" s="202"/>
      <c r="C11" s="121" t="s">
        <v>64</v>
      </c>
      <c r="D11" s="171"/>
      <c r="E11" s="171"/>
      <c r="F11" s="171"/>
      <c r="G11" s="175"/>
      <c r="H11" s="122">
        <v>1.1000000000000001</v>
      </c>
      <c r="I11" s="123" t="s">
        <v>385</v>
      </c>
      <c r="J11" s="163"/>
      <c r="K11" s="122">
        <f>1.1*0.75</f>
        <v>0.82500000000000007</v>
      </c>
      <c r="L11" s="123" t="s">
        <v>387</v>
      </c>
      <c r="M11" s="163"/>
      <c r="N11" s="124"/>
      <c r="O11" s="113"/>
      <c r="P11" s="186"/>
      <c r="Q11" s="164"/>
      <c r="R11" s="121" t="s">
        <v>101</v>
      </c>
      <c r="S11" s="172"/>
      <c r="T11" s="172"/>
      <c r="U11" s="171"/>
      <c r="V11" s="175"/>
      <c r="W11" s="122">
        <v>0.8</v>
      </c>
      <c r="X11" s="123" t="s">
        <v>310</v>
      </c>
      <c r="Y11" s="163"/>
      <c r="Z11" s="122">
        <f>0.8*0.75</f>
        <v>0.60000000000000009</v>
      </c>
      <c r="AA11" s="123" t="s">
        <v>310</v>
      </c>
      <c r="AB11" s="163"/>
      <c r="AC11" s="124"/>
    </row>
    <row r="12" spans="1:29" ht="13.2" customHeight="1">
      <c r="A12" s="170">
        <v>2</v>
      </c>
      <c r="B12" s="187" t="s">
        <v>304</v>
      </c>
      <c r="C12" s="111" t="s">
        <v>25</v>
      </c>
      <c r="D12" s="171" t="s">
        <v>305</v>
      </c>
      <c r="E12" s="171" t="s">
        <v>306</v>
      </c>
      <c r="F12" s="171" t="s">
        <v>307</v>
      </c>
      <c r="G12" s="173" t="s">
        <v>308</v>
      </c>
      <c r="H12" s="125">
        <v>427</v>
      </c>
      <c r="I12" s="109" t="s">
        <v>311</v>
      </c>
      <c r="J12" s="161" t="s">
        <v>150</v>
      </c>
      <c r="K12" s="125">
        <f>427*0.75</f>
        <v>320.25</v>
      </c>
      <c r="L12" s="109" t="s">
        <v>311</v>
      </c>
      <c r="M12" s="161" t="s">
        <v>150</v>
      </c>
      <c r="N12" s="112" t="s">
        <v>45</v>
      </c>
      <c r="O12" s="113"/>
      <c r="P12" s="164">
        <v>17</v>
      </c>
      <c r="Q12" s="164" t="s">
        <v>74</v>
      </c>
      <c r="R12" s="126" t="s">
        <v>111</v>
      </c>
      <c r="S12" s="171" t="s">
        <v>312</v>
      </c>
      <c r="T12" s="171" t="s">
        <v>313</v>
      </c>
      <c r="U12" s="171" t="s">
        <v>314</v>
      </c>
      <c r="V12" s="173" t="s">
        <v>315</v>
      </c>
      <c r="W12" s="125">
        <v>440</v>
      </c>
      <c r="X12" s="109" t="s">
        <v>311</v>
      </c>
      <c r="Y12" s="161" t="s">
        <v>150</v>
      </c>
      <c r="Z12" s="125">
        <f>440*0.75</f>
        <v>330</v>
      </c>
      <c r="AA12" s="109" t="s">
        <v>311</v>
      </c>
      <c r="AB12" s="161" t="s">
        <v>150</v>
      </c>
      <c r="AC12" s="112" t="s">
        <v>45</v>
      </c>
    </row>
    <row r="13" spans="1:29">
      <c r="A13" s="170"/>
      <c r="B13" s="187"/>
      <c r="C13" s="119" t="s">
        <v>79</v>
      </c>
      <c r="D13" s="172"/>
      <c r="E13" s="172"/>
      <c r="F13" s="171"/>
      <c r="G13" s="174"/>
      <c r="H13" s="116">
        <v>13.199999999999998</v>
      </c>
      <c r="I13" s="120" t="s">
        <v>385</v>
      </c>
      <c r="J13" s="162"/>
      <c r="K13" s="116">
        <f>13.2*0.75</f>
        <v>9.8999999999999986</v>
      </c>
      <c r="L13" s="120" t="s">
        <v>385</v>
      </c>
      <c r="M13" s="162"/>
      <c r="N13" s="118" t="s">
        <v>386</v>
      </c>
      <c r="O13" s="113"/>
      <c r="P13" s="164"/>
      <c r="Q13" s="164"/>
      <c r="R13" s="120" t="s">
        <v>119</v>
      </c>
      <c r="S13" s="171"/>
      <c r="T13" s="171"/>
      <c r="U13" s="171"/>
      <c r="V13" s="174"/>
      <c r="W13" s="116">
        <v>13.8</v>
      </c>
      <c r="X13" s="120" t="s">
        <v>385</v>
      </c>
      <c r="Y13" s="162"/>
      <c r="Z13" s="116">
        <f>13.8*0.75</f>
        <v>10.350000000000001</v>
      </c>
      <c r="AA13" s="120" t="s">
        <v>385</v>
      </c>
      <c r="AB13" s="162"/>
      <c r="AC13" s="118" t="s">
        <v>388</v>
      </c>
    </row>
    <row r="14" spans="1:29">
      <c r="A14" s="170"/>
      <c r="B14" s="187"/>
      <c r="C14" s="120" t="s">
        <v>93</v>
      </c>
      <c r="D14" s="172"/>
      <c r="E14" s="172"/>
      <c r="F14" s="171"/>
      <c r="G14" s="174"/>
      <c r="H14" s="116">
        <v>9.5</v>
      </c>
      <c r="I14" s="120" t="s">
        <v>385</v>
      </c>
      <c r="J14" s="162"/>
      <c r="K14" s="116">
        <f>9.5*0.75</f>
        <v>7.125</v>
      </c>
      <c r="L14" s="120" t="s">
        <v>385</v>
      </c>
      <c r="M14" s="162"/>
      <c r="N14" s="118"/>
      <c r="O14" s="113"/>
      <c r="P14" s="164"/>
      <c r="Q14" s="164"/>
      <c r="R14" s="120" t="s">
        <v>125</v>
      </c>
      <c r="S14" s="171"/>
      <c r="T14" s="171"/>
      <c r="U14" s="171"/>
      <c r="V14" s="174"/>
      <c r="W14" s="116">
        <v>12.2</v>
      </c>
      <c r="X14" s="120" t="s">
        <v>385</v>
      </c>
      <c r="Y14" s="162"/>
      <c r="Z14" s="116">
        <f>12.2*0.75</f>
        <v>9.1499999999999986</v>
      </c>
      <c r="AA14" s="120" t="s">
        <v>310</v>
      </c>
      <c r="AB14" s="162"/>
      <c r="AC14" s="118"/>
    </row>
    <row r="15" spans="1:29">
      <c r="A15" s="170"/>
      <c r="B15" s="187"/>
      <c r="C15" s="120" t="s">
        <v>98</v>
      </c>
      <c r="D15" s="172"/>
      <c r="E15" s="172"/>
      <c r="F15" s="171"/>
      <c r="G15" s="174"/>
      <c r="H15" s="116">
        <v>70</v>
      </c>
      <c r="I15" s="120" t="s">
        <v>385</v>
      </c>
      <c r="J15" s="162"/>
      <c r="K15" s="116">
        <f>70*0.75</f>
        <v>52.5</v>
      </c>
      <c r="L15" s="120" t="s">
        <v>385</v>
      </c>
      <c r="M15" s="162"/>
      <c r="N15" s="118"/>
      <c r="O15" s="113"/>
      <c r="P15" s="164"/>
      <c r="Q15" s="164"/>
      <c r="R15" s="120"/>
      <c r="S15" s="171"/>
      <c r="T15" s="171"/>
      <c r="U15" s="171"/>
      <c r="V15" s="174"/>
      <c r="W15" s="116">
        <v>66.7</v>
      </c>
      <c r="X15" s="120" t="s">
        <v>310</v>
      </c>
      <c r="Y15" s="162"/>
      <c r="Z15" s="116">
        <f>66.7*0.75</f>
        <v>50.025000000000006</v>
      </c>
      <c r="AA15" s="120" t="s">
        <v>385</v>
      </c>
      <c r="AB15" s="162"/>
      <c r="AC15" s="118"/>
    </row>
    <row r="16" spans="1:29">
      <c r="A16" s="170"/>
      <c r="B16" s="187"/>
      <c r="C16" s="121" t="s">
        <v>101</v>
      </c>
      <c r="D16" s="172"/>
      <c r="E16" s="172"/>
      <c r="F16" s="171"/>
      <c r="G16" s="175"/>
      <c r="H16" s="122">
        <v>0.8</v>
      </c>
      <c r="I16" s="121" t="s">
        <v>316</v>
      </c>
      <c r="J16" s="163"/>
      <c r="K16" s="122">
        <f>0.8*0.75</f>
        <v>0.60000000000000009</v>
      </c>
      <c r="L16" s="121" t="s">
        <v>316</v>
      </c>
      <c r="M16" s="163"/>
      <c r="N16" s="124"/>
      <c r="O16" s="113"/>
      <c r="P16" s="164"/>
      <c r="Q16" s="164"/>
      <c r="R16" s="121"/>
      <c r="S16" s="171"/>
      <c r="T16" s="171"/>
      <c r="U16" s="171"/>
      <c r="V16" s="175"/>
      <c r="W16" s="122">
        <v>1.4000000000000001</v>
      </c>
      <c r="X16" s="121" t="s">
        <v>389</v>
      </c>
      <c r="Y16" s="163"/>
      <c r="Z16" s="122">
        <f>1.4*0.75</f>
        <v>1.0499999999999998</v>
      </c>
      <c r="AA16" s="121" t="s">
        <v>316</v>
      </c>
      <c r="AB16" s="163"/>
      <c r="AC16" s="124"/>
    </row>
    <row r="17" spans="1:29" ht="13.2" customHeight="1">
      <c r="A17" s="176"/>
      <c r="B17" s="177"/>
      <c r="C17" s="177"/>
      <c r="D17" s="177"/>
      <c r="E17" s="177"/>
      <c r="F17" s="177"/>
      <c r="G17" s="177"/>
      <c r="H17" s="177"/>
      <c r="I17" s="177"/>
      <c r="J17" s="177"/>
      <c r="K17" s="177"/>
      <c r="L17" s="177"/>
      <c r="M17" s="177"/>
      <c r="N17" s="178"/>
      <c r="O17" s="113"/>
      <c r="P17" s="170">
        <v>18</v>
      </c>
      <c r="Q17" s="187" t="s">
        <v>317</v>
      </c>
      <c r="R17" s="127" t="s">
        <v>139</v>
      </c>
      <c r="S17" s="171" t="s">
        <v>318</v>
      </c>
      <c r="T17" s="171" t="s">
        <v>319</v>
      </c>
      <c r="U17" s="171" t="s">
        <v>320</v>
      </c>
      <c r="V17" s="173" t="s">
        <v>321</v>
      </c>
      <c r="W17" s="125">
        <v>388</v>
      </c>
      <c r="X17" s="111" t="s">
        <v>390</v>
      </c>
      <c r="Y17" s="161" t="s">
        <v>322</v>
      </c>
      <c r="Z17" s="125">
        <f>388*0.75</f>
        <v>291</v>
      </c>
      <c r="AA17" s="111" t="s">
        <v>382</v>
      </c>
      <c r="AB17" s="161" t="s">
        <v>322</v>
      </c>
      <c r="AC17" s="112" t="s">
        <v>45</v>
      </c>
    </row>
    <row r="18" spans="1:29">
      <c r="A18" s="179"/>
      <c r="B18" s="180"/>
      <c r="C18" s="180"/>
      <c r="D18" s="180"/>
      <c r="E18" s="180"/>
      <c r="F18" s="180"/>
      <c r="G18" s="180"/>
      <c r="H18" s="180"/>
      <c r="I18" s="180"/>
      <c r="J18" s="180"/>
      <c r="K18" s="180"/>
      <c r="L18" s="180"/>
      <c r="M18" s="180"/>
      <c r="N18" s="181"/>
      <c r="O18" s="113"/>
      <c r="P18" s="193"/>
      <c r="Q18" s="187"/>
      <c r="R18" s="120" t="s">
        <v>146</v>
      </c>
      <c r="S18" s="171"/>
      <c r="T18" s="171"/>
      <c r="U18" s="171"/>
      <c r="V18" s="174"/>
      <c r="W18" s="116">
        <v>16.900000000000002</v>
      </c>
      <c r="X18" s="120" t="s">
        <v>310</v>
      </c>
      <c r="Y18" s="162"/>
      <c r="Z18" s="116">
        <f>16.9*0.75</f>
        <v>12.674999999999999</v>
      </c>
      <c r="AA18" s="120" t="s">
        <v>385</v>
      </c>
      <c r="AB18" s="162"/>
      <c r="AC18" s="118" t="s">
        <v>391</v>
      </c>
    </row>
    <row r="19" spans="1:29" ht="13.2" customHeight="1">
      <c r="A19" s="170">
        <v>4</v>
      </c>
      <c r="B19" s="187" t="s">
        <v>317</v>
      </c>
      <c r="C19" s="127" t="s">
        <v>139</v>
      </c>
      <c r="D19" s="171" t="s">
        <v>318</v>
      </c>
      <c r="E19" s="171" t="s">
        <v>319</v>
      </c>
      <c r="F19" s="171" t="s">
        <v>320</v>
      </c>
      <c r="G19" s="173" t="s">
        <v>321</v>
      </c>
      <c r="H19" s="125">
        <v>388</v>
      </c>
      <c r="I19" s="111" t="s">
        <v>302</v>
      </c>
      <c r="J19" s="161" t="s">
        <v>322</v>
      </c>
      <c r="K19" s="125">
        <f>388*0.75</f>
        <v>291</v>
      </c>
      <c r="L19" s="111" t="s">
        <v>382</v>
      </c>
      <c r="M19" s="161" t="s">
        <v>322</v>
      </c>
      <c r="N19" s="112" t="s">
        <v>45</v>
      </c>
      <c r="O19" s="113"/>
      <c r="P19" s="193"/>
      <c r="Q19" s="187"/>
      <c r="R19" s="120" t="s">
        <v>148</v>
      </c>
      <c r="S19" s="171"/>
      <c r="T19" s="171"/>
      <c r="U19" s="171"/>
      <c r="V19" s="174"/>
      <c r="W19" s="116">
        <v>15.6</v>
      </c>
      <c r="X19" s="120" t="s">
        <v>385</v>
      </c>
      <c r="Y19" s="162"/>
      <c r="Z19" s="116">
        <f>15.6*0.75</f>
        <v>11.7</v>
      </c>
      <c r="AA19" s="120" t="s">
        <v>385</v>
      </c>
      <c r="AB19" s="162"/>
      <c r="AC19" s="118"/>
    </row>
    <row r="20" spans="1:29">
      <c r="A20" s="193"/>
      <c r="B20" s="187"/>
      <c r="C20" s="120" t="s">
        <v>146</v>
      </c>
      <c r="D20" s="171"/>
      <c r="E20" s="171"/>
      <c r="F20" s="171"/>
      <c r="G20" s="174"/>
      <c r="H20" s="116">
        <v>16.900000000000002</v>
      </c>
      <c r="I20" s="120" t="s">
        <v>385</v>
      </c>
      <c r="J20" s="162"/>
      <c r="K20" s="116">
        <f>16.9*0.75</f>
        <v>12.674999999999999</v>
      </c>
      <c r="L20" s="120" t="s">
        <v>310</v>
      </c>
      <c r="M20" s="162"/>
      <c r="N20" s="118" t="s">
        <v>392</v>
      </c>
      <c r="O20" s="113"/>
      <c r="P20" s="193"/>
      <c r="Q20" s="187"/>
      <c r="R20" s="120"/>
      <c r="S20" s="171"/>
      <c r="T20" s="171"/>
      <c r="U20" s="171"/>
      <c r="V20" s="174"/>
      <c r="W20" s="116">
        <v>43.400000000000006</v>
      </c>
      <c r="X20" s="120" t="s">
        <v>310</v>
      </c>
      <c r="Y20" s="162"/>
      <c r="Z20" s="116">
        <f>43.4*0.75</f>
        <v>32.549999999999997</v>
      </c>
      <c r="AA20" s="120" t="s">
        <v>387</v>
      </c>
      <c r="AB20" s="162"/>
      <c r="AC20" s="118"/>
    </row>
    <row r="21" spans="1:29">
      <c r="A21" s="193"/>
      <c r="B21" s="187"/>
      <c r="C21" s="120" t="s">
        <v>148</v>
      </c>
      <c r="D21" s="171"/>
      <c r="E21" s="171"/>
      <c r="F21" s="171"/>
      <c r="G21" s="174"/>
      <c r="H21" s="116">
        <v>15.6</v>
      </c>
      <c r="I21" s="120" t="s">
        <v>385</v>
      </c>
      <c r="J21" s="162"/>
      <c r="K21" s="116">
        <f>15.6*0.75</f>
        <v>11.7</v>
      </c>
      <c r="L21" s="120" t="s">
        <v>310</v>
      </c>
      <c r="M21" s="162"/>
      <c r="N21" s="118" t="s">
        <v>393</v>
      </c>
      <c r="O21" s="113"/>
      <c r="P21" s="193"/>
      <c r="Q21" s="187"/>
      <c r="R21" s="121"/>
      <c r="S21" s="171"/>
      <c r="T21" s="171"/>
      <c r="U21" s="171"/>
      <c r="V21" s="175"/>
      <c r="W21" s="122">
        <v>1.5</v>
      </c>
      <c r="X21" s="121" t="s">
        <v>310</v>
      </c>
      <c r="Y21" s="163"/>
      <c r="Z21" s="122">
        <f>1.5*0.75</f>
        <v>1.125</v>
      </c>
      <c r="AA21" s="121" t="s">
        <v>385</v>
      </c>
      <c r="AB21" s="163"/>
      <c r="AC21" s="124"/>
    </row>
    <row r="22" spans="1:29" ht="13.2" customHeight="1">
      <c r="A22" s="193"/>
      <c r="B22" s="187"/>
      <c r="C22" s="120"/>
      <c r="D22" s="171"/>
      <c r="E22" s="171"/>
      <c r="F22" s="171"/>
      <c r="G22" s="174"/>
      <c r="H22" s="116">
        <v>43.400000000000006</v>
      </c>
      <c r="I22" s="120" t="s">
        <v>310</v>
      </c>
      <c r="J22" s="162"/>
      <c r="K22" s="116">
        <f>43.4*0.75</f>
        <v>32.549999999999997</v>
      </c>
      <c r="L22" s="120" t="s">
        <v>385</v>
      </c>
      <c r="M22" s="162"/>
      <c r="N22" s="118"/>
      <c r="O22" s="113"/>
      <c r="P22" s="164">
        <v>19</v>
      </c>
      <c r="Q22" s="164" t="s">
        <v>323</v>
      </c>
      <c r="R22" s="109" t="s">
        <v>25</v>
      </c>
      <c r="S22" s="171" t="s">
        <v>324</v>
      </c>
      <c r="T22" s="171" t="s">
        <v>325</v>
      </c>
      <c r="U22" s="171" t="s">
        <v>326</v>
      </c>
      <c r="V22" s="173" t="s">
        <v>327</v>
      </c>
      <c r="W22" s="125">
        <v>428</v>
      </c>
      <c r="X22" s="111" t="s">
        <v>382</v>
      </c>
      <c r="Y22" s="161" t="s">
        <v>56</v>
      </c>
      <c r="Z22" s="125">
        <f>428*0.75</f>
        <v>321</v>
      </c>
      <c r="AA22" s="111" t="s">
        <v>302</v>
      </c>
      <c r="AB22" s="161" t="s">
        <v>56</v>
      </c>
      <c r="AC22" s="112" t="s">
        <v>45</v>
      </c>
    </row>
    <row r="23" spans="1:29">
      <c r="A23" s="193"/>
      <c r="B23" s="187"/>
      <c r="C23" s="121"/>
      <c r="D23" s="171"/>
      <c r="E23" s="171"/>
      <c r="F23" s="171"/>
      <c r="G23" s="175"/>
      <c r="H23" s="122">
        <v>1.5</v>
      </c>
      <c r="I23" s="121" t="s">
        <v>385</v>
      </c>
      <c r="J23" s="163"/>
      <c r="K23" s="122">
        <f>1.5*0.75</f>
        <v>1.125</v>
      </c>
      <c r="L23" s="121" t="s">
        <v>310</v>
      </c>
      <c r="M23" s="163"/>
      <c r="N23" s="124"/>
      <c r="O23" s="113"/>
      <c r="P23" s="164"/>
      <c r="Q23" s="164"/>
      <c r="R23" s="115" t="s">
        <v>158</v>
      </c>
      <c r="S23" s="171"/>
      <c r="T23" s="171"/>
      <c r="U23" s="171"/>
      <c r="V23" s="174"/>
      <c r="W23" s="116">
        <v>14.4</v>
      </c>
      <c r="X23" s="120" t="s">
        <v>385</v>
      </c>
      <c r="Y23" s="162"/>
      <c r="Z23" s="116">
        <f>14.4*0.75</f>
        <v>10.8</v>
      </c>
      <c r="AA23" s="120" t="s">
        <v>310</v>
      </c>
      <c r="AB23" s="162"/>
      <c r="AC23" s="118" t="s">
        <v>394</v>
      </c>
    </row>
    <row r="24" spans="1:29" ht="13.2" customHeight="1">
      <c r="A24" s="170">
        <v>5</v>
      </c>
      <c r="B24" s="187" t="s">
        <v>323</v>
      </c>
      <c r="C24" s="109" t="s">
        <v>25</v>
      </c>
      <c r="D24" s="171" t="s">
        <v>395</v>
      </c>
      <c r="E24" s="171" t="s">
        <v>396</v>
      </c>
      <c r="F24" s="171" t="s">
        <v>326</v>
      </c>
      <c r="G24" s="173" t="s">
        <v>327</v>
      </c>
      <c r="H24" s="125">
        <v>428</v>
      </c>
      <c r="I24" s="111" t="s">
        <v>382</v>
      </c>
      <c r="J24" s="161" t="s">
        <v>56</v>
      </c>
      <c r="K24" s="125">
        <f>428*0.75</f>
        <v>321</v>
      </c>
      <c r="L24" s="111" t="s">
        <v>302</v>
      </c>
      <c r="M24" s="161" t="s">
        <v>56</v>
      </c>
      <c r="N24" s="112" t="s">
        <v>45</v>
      </c>
      <c r="O24" s="113"/>
      <c r="P24" s="164"/>
      <c r="Q24" s="164"/>
      <c r="R24" s="120" t="s">
        <v>164</v>
      </c>
      <c r="S24" s="171"/>
      <c r="T24" s="171"/>
      <c r="U24" s="171"/>
      <c r="V24" s="174"/>
      <c r="W24" s="116">
        <v>13.799999999999999</v>
      </c>
      <c r="X24" s="120" t="s">
        <v>310</v>
      </c>
      <c r="Y24" s="162"/>
      <c r="Z24" s="116">
        <f>13.8*0.75</f>
        <v>10.350000000000001</v>
      </c>
      <c r="AA24" s="120" t="s">
        <v>385</v>
      </c>
      <c r="AB24" s="162"/>
      <c r="AC24" s="118" t="s">
        <v>393</v>
      </c>
    </row>
    <row r="25" spans="1:29">
      <c r="A25" s="193"/>
      <c r="B25" s="187"/>
      <c r="C25" s="115" t="s">
        <v>158</v>
      </c>
      <c r="D25" s="171"/>
      <c r="E25" s="171"/>
      <c r="F25" s="171"/>
      <c r="G25" s="174"/>
      <c r="H25" s="116">
        <v>14.4</v>
      </c>
      <c r="I25" s="120" t="s">
        <v>385</v>
      </c>
      <c r="J25" s="162"/>
      <c r="K25" s="116">
        <f>14.4*0.75</f>
        <v>10.8</v>
      </c>
      <c r="L25" s="120" t="s">
        <v>310</v>
      </c>
      <c r="M25" s="162"/>
      <c r="N25" s="118" t="s">
        <v>391</v>
      </c>
      <c r="O25" s="113"/>
      <c r="P25" s="164"/>
      <c r="Q25" s="164"/>
      <c r="R25" s="120" t="s">
        <v>59</v>
      </c>
      <c r="S25" s="171"/>
      <c r="T25" s="171"/>
      <c r="U25" s="171"/>
      <c r="V25" s="174"/>
      <c r="W25" s="116">
        <v>58.4</v>
      </c>
      <c r="X25" s="120" t="s">
        <v>310</v>
      </c>
      <c r="Y25" s="162"/>
      <c r="Z25" s="116">
        <f>58.4*0.75</f>
        <v>43.8</v>
      </c>
      <c r="AA25" s="120" t="s">
        <v>385</v>
      </c>
      <c r="AB25" s="162"/>
      <c r="AC25" s="118"/>
    </row>
    <row r="26" spans="1:29">
      <c r="A26" s="193"/>
      <c r="B26" s="187"/>
      <c r="C26" s="120" t="s">
        <v>164</v>
      </c>
      <c r="D26" s="171"/>
      <c r="E26" s="171"/>
      <c r="F26" s="171"/>
      <c r="G26" s="174"/>
      <c r="H26" s="116">
        <v>13.799999999999999</v>
      </c>
      <c r="I26" s="120" t="s">
        <v>310</v>
      </c>
      <c r="J26" s="162"/>
      <c r="K26" s="116">
        <f>13.8*0.75</f>
        <v>10.350000000000001</v>
      </c>
      <c r="L26" s="120" t="s">
        <v>385</v>
      </c>
      <c r="M26" s="162"/>
      <c r="N26" s="118"/>
      <c r="O26" s="113"/>
      <c r="P26" s="164"/>
      <c r="Q26" s="164"/>
      <c r="R26" s="121" t="s">
        <v>64</v>
      </c>
      <c r="S26" s="171"/>
      <c r="T26" s="171"/>
      <c r="U26" s="171"/>
      <c r="V26" s="175"/>
      <c r="W26" s="122">
        <v>0.8</v>
      </c>
      <c r="X26" s="121" t="s">
        <v>310</v>
      </c>
      <c r="Y26" s="163"/>
      <c r="Z26" s="122">
        <f>0.8*0.75</f>
        <v>0.60000000000000009</v>
      </c>
      <c r="AA26" s="121" t="s">
        <v>310</v>
      </c>
      <c r="AB26" s="163"/>
      <c r="AC26" s="124"/>
    </row>
    <row r="27" spans="1:29" ht="13.2" customHeight="1">
      <c r="A27" s="193"/>
      <c r="B27" s="187"/>
      <c r="C27" s="120" t="s">
        <v>59</v>
      </c>
      <c r="D27" s="171"/>
      <c r="E27" s="171"/>
      <c r="F27" s="171"/>
      <c r="G27" s="174"/>
      <c r="H27" s="116">
        <v>58.4</v>
      </c>
      <c r="I27" s="120" t="s">
        <v>385</v>
      </c>
      <c r="J27" s="162"/>
      <c r="K27" s="116">
        <f>58.4*0.75</f>
        <v>43.8</v>
      </c>
      <c r="L27" s="120" t="s">
        <v>385</v>
      </c>
      <c r="M27" s="162"/>
      <c r="N27" s="118"/>
      <c r="O27" s="113"/>
      <c r="P27" s="164">
        <v>20</v>
      </c>
      <c r="Q27" s="164" t="s">
        <v>328</v>
      </c>
      <c r="R27" s="109" t="s">
        <v>397</v>
      </c>
      <c r="S27" s="183" t="s">
        <v>398</v>
      </c>
      <c r="T27" s="183" t="s">
        <v>399</v>
      </c>
      <c r="U27" s="183" t="s">
        <v>400</v>
      </c>
      <c r="V27" s="183" t="s">
        <v>401</v>
      </c>
      <c r="W27" s="125">
        <v>355</v>
      </c>
      <c r="X27" s="111" t="s">
        <v>382</v>
      </c>
      <c r="Y27" s="161" t="s">
        <v>27</v>
      </c>
      <c r="Z27" s="125">
        <v>278</v>
      </c>
      <c r="AA27" s="111" t="s">
        <v>382</v>
      </c>
      <c r="AB27" s="183" t="s">
        <v>402</v>
      </c>
      <c r="AC27" s="109" t="s">
        <v>403</v>
      </c>
    </row>
    <row r="28" spans="1:29">
      <c r="A28" s="193"/>
      <c r="B28" s="187"/>
      <c r="C28" s="121" t="s">
        <v>64</v>
      </c>
      <c r="D28" s="171"/>
      <c r="E28" s="171"/>
      <c r="F28" s="171"/>
      <c r="G28" s="175"/>
      <c r="H28" s="122">
        <v>0.8</v>
      </c>
      <c r="I28" s="121" t="s">
        <v>385</v>
      </c>
      <c r="J28" s="163"/>
      <c r="K28" s="122">
        <f>0.8*0.75</f>
        <v>0.60000000000000009</v>
      </c>
      <c r="L28" s="121" t="s">
        <v>385</v>
      </c>
      <c r="M28" s="163"/>
      <c r="N28" s="124" t="s">
        <v>404</v>
      </c>
      <c r="O28" s="113"/>
      <c r="P28" s="164"/>
      <c r="Q28" s="164"/>
      <c r="R28" s="120" t="s">
        <v>405</v>
      </c>
      <c r="S28" s="184"/>
      <c r="T28" s="184"/>
      <c r="U28" s="184"/>
      <c r="V28" s="184"/>
      <c r="W28" s="116">
        <v>10.899999999999995</v>
      </c>
      <c r="X28" s="120" t="s">
        <v>385</v>
      </c>
      <c r="Y28" s="162"/>
      <c r="Z28" s="116">
        <v>7.5</v>
      </c>
      <c r="AA28" s="120" t="s">
        <v>385</v>
      </c>
      <c r="AB28" s="184"/>
      <c r="AC28" s="120" t="s">
        <v>330</v>
      </c>
    </row>
    <row r="29" spans="1:29" ht="13.2" customHeight="1">
      <c r="A29" s="164">
        <v>6</v>
      </c>
      <c r="B29" s="187" t="s">
        <v>328</v>
      </c>
      <c r="C29" s="109" t="s">
        <v>397</v>
      </c>
      <c r="D29" s="183" t="s">
        <v>406</v>
      </c>
      <c r="E29" s="183" t="s">
        <v>399</v>
      </c>
      <c r="F29" s="183" t="s">
        <v>407</v>
      </c>
      <c r="G29" s="183" t="s">
        <v>408</v>
      </c>
      <c r="H29" s="125">
        <v>355</v>
      </c>
      <c r="I29" s="111" t="s">
        <v>382</v>
      </c>
      <c r="J29" s="161" t="s">
        <v>27</v>
      </c>
      <c r="K29" s="125">
        <v>278</v>
      </c>
      <c r="L29" s="111" t="s">
        <v>302</v>
      </c>
      <c r="M29" s="183" t="s">
        <v>402</v>
      </c>
      <c r="N29" s="109" t="s">
        <v>403</v>
      </c>
      <c r="O29" s="113"/>
      <c r="P29" s="164"/>
      <c r="Q29" s="164"/>
      <c r="R29" s="120" t="s">
        <v>409</v>
      </c>
      <c r="S29" s="184"/>
      <c r="T29" s="184"/>
      <c r="U29" s="184"/>
      <c r="V29" s="184"/>
      <c r="W29" s="116">
        <v>5.0999999999999996</v>
      </c>
      <c r="X29" s="120" t="s">
        <v>385</v>
      </c>
      <c r="Y29" s="162"/>
      <c r="Z29" s="116">
        <v>6.3</v>
      </c>
      <c r="AA29" s="120" t="s">
        <v>310</v>
      </c>
      <c r="AB29" s="184"/>
      <c r="AC29" s="120" t="s">
        <v>410</v>
      </c>
    </row>
    <row r="30" spans="1:29">
      <c r="A30" s="186"/>
      <c r="B30" s="187"/>
      <c r="C30" s="120" t="s">
        <v>329</v>
      </c>
      <c r="D30" s="184"/>
      <c r="E30" s="184"/>
      <c r="F30" s="184"/>
      <c r="G30" s="184"/>
      <c r="H30" s="116">
        <v>10.899999999999995</v>
      </c>
      <c r="I30" s="120" t="s">
        <v>385</v>
      </c>
      <c r="J30" s="162"/>
      <c r="K30" s="116">
        <v>7.5</v>
      </c>
      <c r="L30" s="120" t="s">
        <v>310</v>
      </c>
      <c r="M30" s="184"/>
      <c r="N30" s="120" t="s">
        <v>411</v>
      </c>
      <c r="O30" s="113"/>
      <c r="P30" s="164"/>
      <c r="Q30" s="164"/>
      <c r="R30" s="120"/>
      <c r="S30" s="184"/>
      <c r="T30" s="184"/>
      <c r="U30" s="184"/>
      <c r="V30" s="184"/>
      <c r="W30" s="116">
        <v>63.4</v>
      </c>
      <c r="X30" s="120" t="s">
        <v>385</v>
      </c>
      <c r="Y30" s="162"/>
      <c r="Z30" s="116">
        <v>46.4</v>
      </c>
      <c r="AA30" s="120" t="s">
        <v>310</v>
      </c>
      <c r="AB30" s="184"/>
      <c r="AC30" s="120"/>
    </row>
    <row r="31" spans="1:29">
      <c r="A31" s="186"/>
      <c r="B31" s="187"/>
      <c r="C31" s="120" t="s">
        <v>409</v>
      </c>
      <c r="D31" s="184"/>
      <c r="E31" s="184"/>
      <c r="F31" s="184"/>
      <c r="G31" s="184"/>
      <c r="H31" s="116">
        <v>5.0999999999999996</v>
      </c>
      <c r="I31" s="120" t="s">
        <v>385</v>
      </c>
      <c r="J31" s="162"/>
      <c r="K31" s="116">
        <v>6.3</v>
      </c>
      <c r="L31" s="120" t="s">
        <v>310</v>
      </c>
      <c r="M31" s="184"/>
      <c r="N31" s="120" t="s">
        <v>410</v>
      </c>
      <c r="O31" s="113"/>
      <c r="P31" s="164"/>
      <c r="Q31" s="164"/>
      <c r="R31" s="121"/>
      <c r="S31" s="185"/>
      <c r="T31" s="185"/>
      <c r="U31" s="185"/>
      <c r="V31" s="185"/>
      <c r="W31" s="122">
        <v>1</v>
      </c>
      <c r="X31" s="121" t="s">
        <v>387</v>
      </c>
      <c r="Y31" s="163"/>
      <c r="Z31" s="122">
        <v>1.3</v>
      </c>
      <c r="AA31" s="121" t="s">
        <v>385</v>
      </c>
      <c r="AB31" s="185"/>
      <c r="AC31" s="121"/>
    </row>
    <row r="32" spans="1:29">
      <c r="A32" s="186"/>
      <c r="B32" s="187"/>
      <c r="C32" s="120"/>
      <c r="D32" s="184"/>
      <c r="E32" s="184"/>
      <c r="F32" s="184"/>
      <c r="G32" s="184"/>
      <c r="H32" s="116">
        <v>63.4</v>
      </c>
      <c r="I32" s="120" t="s">
        <v>310</v>
      </c>
      <c r="J32" s="162"/>
      <c r="K32" s="116">
        <v>46.4</v>
      </c>
      <c r="L32" s="120" t="s">
        <v>385</v>
      </c>
      <c r="M32" s="184"/>
      <c r="N32" s="120"/>
      <c r="O32" s="113"/>
      <c r="P32" s="176"/>
      <c r="Q32" s="177"/>
      <c r="R32" s="177"/>
      <c r="S32" s="177"/>
      <c r="T32" s="177"/>
      <c r="U32" s="177"/>
      <c r="V32" s="177"/>
      <c r="W32" s="177"/>
      <c r="X32" s="177"/>
      <c r="Y32" s="177"/>
      <c r="Z32" s="177"/>
      <c r="AA32" s="177"/>
      <c r="AB32" s="177"/>
      <c r="AC32" s="178"/>
    </row>
    <row r="33" spans="1:29">
      <c r="A33" s="186"/>
      <c r="B33" s="187"/>
      <c r="C33" s="121"/>
      <c r="D33" s="185"/>
      <c r="E33" s="185"/>
      <c r="F33" s="185"/>
      <c r="G33" s="185"/>
      <c r="H33" s="122">
        <v>1</v>
      </c>
      <c r="I33" s="121" t="s">
        <v>310</v>
      </c>
      <c r="J33" s="163"/>
      <c r="K33" s="122">
        <v>1.3</v>
      </c>
      <c r="L33" s="121" t="s">
        <v>310</v>
      </c>
      <c r="M33" s="185"/>
      <c r="N33" s="121"/>
      <c r="O33" s="113"/>
      <c r="P33" s="179"/>
      <c r="Q33" s="180"/>
      <c r="R33" s="180"/>
      <c r="S33" s="180"/>
      <c r="T33" s="180"/>
      <c r="U33" s="180"/>
      <c r="V33" s="180"/>
      <c r="W33" s="180"/>
      <c r="X33" s="180"/>
      <c r="Y33" s="180"/>
      <c r="Z33" s="180"/>
      <c r="AA33" s="180"/>
      <c r="AB33" s="180"/>
      <c r="AC33" s="181"/>
    </row>
    <row r="34" spans="1:29" ht="13.2" customHeight="1">
      <c r="A34" s="176"/>
      <c r="B34" s="177"/>
      <c r="C34" s="177"/>
      <c r="D34" s="177"/>
      <c r="E34" s="177"/>
      <c r="F34" s="177"/>
      <c r="G34" s="177"/>
      <c r="H34" s="177"/>
      <c r="I34" s="177"/>
      <c r="J34" s="177"/>
      <c r="K34" s="177"/>
      <c r="L34" s="177"/>
      <c r="M34" s="177"/>
      <c r="N34" s="178"/>
      <c r="O34" s="113"/>
      <c r="P34" s="170">
        <v>22</v>
      </c>
      <c r="Q34" s="164" t="s">
        <v>297</v>
      </c>
      <c r="R34" s="109" t="s">
        <v>176</v>
      </c>
      <c r="S34" s="171" t="s">
        <v>412</v>
      </c>
      <c r="T34" s="171" t="s">
        <v>333</v>
      </c>
      <c r="U34" s="171" t="s">
        <v>334</v>
      </c>
      <c r="V34" s="173" t="s">
        <v>335</v>
      </c>
      <c r="W34" s="125">
        <v>456</v>
      </c>
      <c r="X34" s="111" t="s">
        <v>382</v>
      </c>
      <c r="Y34" s="161" t="s">
        <v>150</v>
      </c>
      <c r="Z34" s="125">
        <f>456*0.75</f>
        <v>342</v>
      </c>
      <c r="AA34" s="111" t="s">
        <v>390</v>
      </c>
      <c r="AB34" s="161" t="s">
        <v>150</v>
      </c>
      <c r="AC34" s="112" t="s">
        <v>45</v>
      </c>
    </row>
    <row r="35" spans="1:29">
      <c r="A35" s="179"/>
      <c r="B35" s="180"/>
      <c r="C35" s="180"/>
      <c r="D35" s="180"/>
      <c r="E35" s="180"/>
      <c r="F35" s="180"/>
      <c r="G35" s="180"/>
      <c r="H35" s="180"/>
      <c r="I35" s="180"/>
      <c r="J35" s="180"/>
      <c r="K35" s="180"/>
      <c r="L35" s="180"/>
      <c r="M35" s="180"/>
      <c r="N35" s="181"/>
      <c r="O35" s="113"/>
      <c r="P35" s="164"/>
      <c r="Q35" s="164"/>
      <c r="R35" s="128" t="s">
        <v>336</v>
      </c>
      <c r="S35" s="171"/>
      <c r="T35" s="171"/>
      <c r="U35" s="171"/>
      <c r="V35" s="174"/>
      <c r="W35" s="116">
        <v>13.100000000000001</v>
      </c>
      <c r="X35" s="120" t="s">
        <v>385</v>
      </c>
      <c r="Y35" s="162"/>
      <c r="Z35" s="116">
        <f>13.1*0.75</f>
        <v>9.8249999999999993</v>
      </c>
      <c r="AA35" s="120" t="s">
        <v>385</v>
      </c>
      <c r="AB35" s="162"/>
      <c r="AC35" s="118" t="s">
        <v>413</v>
      </c>
    </row>
    <row r="36" spans="1:29" ht="13.2" customHeight="1">
      <c r="A36" s="182">
        <v>8</v>
      </c>
      <c r="B36" s="187" t="s">
        <v>297</v>
      </c>
      <c r="C36" s="109" t="s">
        <v>176</v>
      </c>
      <c r="D36" s="171" t="s">
        <v>337</v>
      </c>
      <c r="E36" s="171" t="s">
        <v>333</v>
      </c>
      <c r="F36" s="171" t="s">
        <v>334</v>
      </c>
      <c r="G36" s="173" t="s">
        <v>335</v>
      </c>
      <c r="H36" s="125">
        <v>456</v>
      </c>
      <c r="I36" s="111" t="s">
        <v>302</v>
      </c>
      <c r="J36" s="161" t="s">
        <v>150</v>
      </c>
      <c r="K36" s="125">
        <f>456*0.75</f>
        <v>342</v>
      </c>
      <c r="L36" s="111" t="s">
        <v>390</v>
      </c>
      <c r="M36" s="161" t="s">
        <v>150</v>
      </c>
      <c r="N36" s="112" t="s">
        <v>45</v>
      </c>
      <c r="O36" s="113"/>
      <c r="P36" s="164"/>
      <c r="Q36" s="164"/>
      <c r="R36" s="120" t="s">
        <v>185</v>
      </c>
      <c r="S36" s="171"/>
      <c r="T36" s="171"/>
      <c r="U36" s="171"/>
      <c r="V36" s="174"/>
      <c r="W36" s="116">
        <v>12.799999999999999</v>
      </c>
      <c r="X36" s="120" t="s">
        <v>385</v>
      </c>
      <c r="Y36" s="162"/>
      <c r="Z36" s="116">
        <f>12.8*0.75</f>
        <v>9.6000000000000014</v>
      </c>
      <c r="AA36" s="120" t="s">
        <v>310</v>
      </c>
      <c r="AB36" s="162"/>
      <c r="AC36" s="118" t="s">
        <v>332</v>
      </c>
    </row>
    <row r="37" spans="1:29">
      <c r="A37" s="192"/>
      <c r="B37" s="187"/>
      <c r="C37" s="128" t="s">
        <v>336</v>
      </c>
      <c r="D37" s="171"/>
      <c r="E37" s="171"/>
      <c r="F37" s="171"/>
      <c r="G37" s="174"/>
      <c r="H37" s="116">
        <v>13.1</v>
      </c>
      <c r="I37" s="120" t="s">
        <v>385</v>
      </c>
      <c r="J37" s="162"/>
      <c r="K37" s="116">
        <f>13.1*0.75</f>
        <v>9.8249999999999993</v>
      </c>
      <c r="L37" s="120" t="s">
        <v>385</v>
      </c>
      <c r="M37" s="162"/>
      <c r="N37" s="118" t="s">
        <v>414</v>
      </c>
      <c r="O37" s="113"/>
      <c r="P37" s="164"/>
      <c r="Q37" s="164"/>
      <c r="R37" s="120" t="s">
        <v>64</v>
      </c>
      <c r="S37" s="171"/>
      <c r="T37" s="171"/>
      <c r="U37" s="171"/>
      <c r="V37" s="174"/>
      <c r="W37" s="116">
        <v>70.700000000000017</v>
      </c>
      <c r="X37" s="120" t="s">
        <v>310</v>
      </c>
      <c r="Y37" s="162"/>
      <c r="Z37" s="116">
        <f>70.7*0.75</f>
        <v>53.025000000000006</v>
      </c>
      <c r="AA37" s="120" t="s">
        <v>385</v>
      </c>
      <c r="AB37" s="162"/>
      <c r="AC37" s="118"/>
    </row>
    <row r="38" spans="1:29">
      <c r="A38" s="192"/>
      <c r="B38" s="187"/>
      <c r="C38" s="120" t="s">
        <v>185</v>
      </c>
      <c r="D38" s="171"/>
      <c r="E38" s="171"/>
      <c r="F38" s="171"/>
      <c r="G38" s="174"/>
      <c r="H38" s="116">
        <v>12.799999999999999</v>
      </c>
      <c r="I38" s="120" t="s">
        <v>310</v>
      </c>
      <c r="J38" s="162"/>
      <c r="K38" s="116">
        <f>12.8*0.75</f>
        <v>9.6000000000000014</v>
      </c>
      <c r="L38" s="120" t="s">
        <v>385</v>
      </c>
      <c r="M38" s="162"/>
      <c r="N38" s="118"/>
      <c r="O38" s="113"/>
      <c r="P38" s="164"/>
      <c r="Q38" s="164"/>
      <c r="R38" s="121"/>
      <c r="S38" s="171"/>
      <c r="T38" s="171"/>
      <c r="U38" s="171"/>
      <c r="V38" s="175"/>
      <c r="W38" s="122">
        <v>1.5000000000000002</v>
      </c>
      <c r="X38" s="121" t="s">
        <v>310</v>
      </c>
      <c r="Y38" s="163"/>
      <c r="Z38" s="122">
        <f>1.5*0.75</f>
        <v>1.125</v>
      </c>
      <c r="AA38" s="121" t="s">
        <v>385</v>
      </c>
      <c r="AB38" s="163"/>
      <c r="AC38" s="124"/>
    </row>
    <row r="39" spans="1:29">
      <c r="A39" s="192"/>
      <c r="B39" s="187"/>
      <c r="C39" s="120" t="s">
        <v>64</v>
      </c>
      <c r="D39" s="171"/>
      <c r="E39" s="171"/>
      <c r="F39" s="171"/>
      <c r="G39" s="174"/>
      <c r="H39" s="116">
        <v>70.7</v>
      </c>
      <c r="I39" s="120" t="s">
        <v>310</v>
      </c>
      <c r="J39" s="162"/>
      <c r="K39" s="116">
        <f>70.7*0.75</f>
        <v>53.025000000000006</v>
      </c>
      <c r="L39" s="120" t="s">
        <v>310</v>
      </c>
      <c r="M39" s="162"/>
      <c r="N39" s="118"/>
      <c r="O39" s="113"/>
      <c r="P39" s="176"/>
      <c r="Q39" s="177"/>
      <c r="R39" s="177"/>
      <c r="S39" s="177"/>
      <c r="T39" s="177"/>
      <c r="U39" s="177"/>
      <c r="V39" s="177"/>
      <c r="W39" s="177"/>
      <c r="X39" s="177"/>
      <c r="Y39" s="177"/>
      <c r="Z39" s="177"/>
      <c r="AA39" s="177"/>
      <c r="AB39" s="177"/>
      <c r="AC39" s="178"/>
    </row>
    <row r="40" spans="1:29">
      <c r="A40" s="192"/>
      <c r="B40" s="187"/>
      <c r="C40" s="121"/>
      <c r="D40" s="171"/>
      <c r="E40" s="171"/>
      <c r="F40" s="171"/>
      <c r="G40" s="175"/>
      <c r="H40" s="122">
        <v>1.5000000000000002</v>
      </c>
      <c r="I40" s="121" t="s">
        <v>385</v>
      </c>
      <c r="J40" s="163"/>
      <c r="K40" s="122">
        <f>1.5*0.75</f>
        <v>1.125</v>
      </c>
      <c r="L40" s="121" t="s">
        <v>385</v>
      </c>
      <c r="M40" s="163"/>
      <c r="N40" s="124"/>
      <c r="O40" s="113"/>
      <c r="P40" s="179"/>
      <c r="Q40" s="180"/>
      <c r="R40" s="180"/>
      <c r="S40" s="180"/>
      <c r="T40" s="180"/>
      <c r="U40" s="180"/>
      <c r="V40" s="180"/>
      <c r="W40" s="180"/>
      <c r="X40" s="180"/>
      <c r="Y40" s="180"/>
      <c r="Z40" s="180"/>
      <c r="AA40" s="180"/>
      <c r="AB40" s="180"/>
      <c r="AC40" s="181"/>
    </row>
    <row r="41" spans="1:29" ht="13.2" customHeight="1">
      <c r="A41" s="164">
        <v>9</v>
      </c>
      <c r="B41" s="187" t="s">
        <v>304</v>
      </c>
      <c r="C41" s="109" t="s">
        <v>24</v>
      </c>
      <c r="D41" s="171" t="s">
        <v>338</v>
      </c>
      <c r="E41" s="171" t="s">
        <v>339</v>
      </c>
      <c r="F41" s="171" t="s">
        <v>340</v>
      </c>
      <c r="G41" s="173" t="s">
        <v>341</v>
      </c>
      <c r="H41" s="125">
        <v>388</v>
      </c>
      <c r="I41" s="111" t="s">
        <v>382</v>
      </c>
      <c r="J41" s="161" t="s">
        <v>415</v>
      </c>
      <c r="K41" s="125">
        <f>388*0.75</f>
        <v>291</v>
      </c>
      <c r="L41" s="111" t="s">
        <v>382</v>
      </c>
      <c r="M41" s="161" t="s">
        <v>415</v>
      </c>
      <c r="N41" s="112" t="s">
        <v>45</v>
      </c>
      <c r="O41" s="113"/>
      <c r="P41" s="164">
        <v>24</v>
      </c>
      <c r="Q41" s="164" t="s">
        <v>74</v>
      </c>
      <c r="R41" s="127" t="s">
        <v>197</v>
      </c>
      <c r="S41" s="171" t="s">
        <v>342</v>
      </c>
      <c r="T41" s="171" t="s">
        <v>343</v>
      </c>
      <c r="U41" s="171" t="s">
        <v>344</v>
      </c>
      <c r="V41" s="173" t="s">
        <v>327</v>
      </c>
      <c r="W41" s="125">
        <v>351</v>
      </c>
      <c r="X41" s="111" t="s">
        <v>382</v>
      </c>
      <c r="Y41" s="161" t="s">
        <v>27</v>
      </c>
      <c r="Z41" s="125">
        <f>351*0.75</f>
        <v>263.25</v>
      </c>
      <c r="AA41" s="111" t="s">
        <v>382</v>
      </c>
      <c r="AB41" s="161" t="s">
        <v>27</v>
      </c>
      <c r="AC41" s="112" t="s">
        <v>45</v>
      </c>
    </row>
    <row r="42" spans="1:29">
      <c r="A42" s="186"/>
      <c r="B42" s="187"/>
      <c r="C42" s="115" t="s">
        <v>189</v>
      </c>
      <c r="D42" s="171"/>
      <c r="E42" s="171"/>
      <c r="F42" s="171"/>
      <c r="G42" s="174"/>
      <c r="H42" s="116">
        <v>13.899999999999997</v>
      </c>
      <c r="I42" s="120" t="s">
        <v>385</v>
      </c>
      <c r="J42" s="162"/>
      <c r="K42" s="116">
        <f>13.9*0.75</f>
        <v>10.425000000000001</v>
      </c>
      <c r="L42" s="120" t="s">
        <v>385</v>
      </c>
      <c r="M42" s="162"/>
      <c r="N42" s="118" t="s">
        <v>416</v>
      </c>
      <c r="O42" s="113"/>
      <c r="P42" s="164"/>
      <c r="Q42" s="164"/>
      <c r="R42" s="120" t="s">
        <v>345</v>
      </c>
      <c r="S42" s="171"/>
      <c r="T42" s="171"/>
      <c r="U42" s="171"/>
      <c r="V42" s="174"/>
      <c r="W42" s="116">
        <v>14.899999999999997</v>
      </c>
      <c r="X42" s="120" t="s">
        <v>385</v>
      </c>
      <c r="Y42" s="162"/>
      <c r="Z42" s="116">
        <f>14.9*0.75</f>
        <v>11.175000000000001</v>
      </c>
      <c r="AA42" s="120" t="s">
        <v>385</v>
      </c>
      <c r="AB42" s="162"/>
      <c r="AC42" s="118" t="s">
        <v>417</v>
      </c>
    </row>
    <row r="43" spans="1:29">
      <c r="A43" s="186"/>
      <c r="B43" s="187"/>
      <c r="C43" s="120" t="s">
        <v>346</v>
      </c>
      <c r="D43" s="171"/>
      <c r="E43" s="171"/>
      <c r="F43" s="171"/>
      <c r="G43" s="174"/>
      <c r="H43" s="116">
        <v>8.4999999999999982</v>
      </c>
      <c r="I43" s="120" t="s">
        <v>385</v>
      </c>
      <c r="J43" s="162"/>
      <c r="K43" s="116">
        <f>8.5*0.75</f>
        <v>6.375</v>
      </c>
      <c r="L43" s="120" t="s">
        <v>385</v>
      </c>
      <c r="M43" s="162"/>
      <c r="N43" s="118"/>
      <c r="O43" s="113"/>
      <c r="P43" s="164"/>
      <c r="Q43" s="164"/>
      <c r="R43" s="120" t="s">
        <v>64</v>
      </c>
      <c r="S43" s="171"/>
      <c r="T43" s="171"/>
      <c r="U43" s="171"/>
      <c r="V43" s="174"/>
      <c r="W43" s="116">
        <v>13</v>
      </c>
      <c r="X43" s="120" t="s">
        <v>385</v>
      </c>
      <c r="Y43" s="162"/>
      <c r="Z43" s="116">
        <f>13*0.75</f>
        <v>9.75</v>
      </c>
      <c r="AA43" s="120" t="s">
        <v>310</v>
      </c>
      <c r="AB43" s="162"/>
      <c r="AC43" s="118"/>
    </row>
    <row r="44" spans="1:29">
      <c r="A44" s="186"/>
      <c r="B44" s="187"/>
      <c r="C44" s="120" t="s">
        <v>59</v>
      </c>
      <c r="D44" s="171"/>
      <c r="E44" s="171"/>
      <c r="F44" s="171"/>
      <c r="G44" s="174"/>
      <c r="H44" s="116">
        <v>61.499999999999993</v>
      </c>
      <c r="I44" s="120" t="s">
        <v>385</v>
      </c>
      <c r="J44" s="162"/>
      <c r="K44" s="116">
        <f>61.5*0.75</f>
        <v>46.125</v>
      </c>
      <c r="L44" s="120" t="s">
        <v>310</v>
      </c>
      <c r="M44" s="162"/>
      <c r="N44" s="118"/>
      <c r="O44" s="113"/>
      <c r="P44" s="164"/>
      <c r="Q44" s="164"/>
      <c r="R44" s="120"/>
      <c r="S44" s="171"/>
      <c r="T44" s="171"/>
      <c r="U44" s="171"/>
      <c r="V44" s="174"/>
      <c r="W44" s="116">
        <v>43.1</v>
      </c>
      <c r="X44" s="120" t="s">
        <v>310</v>
      </c>
      <c r="Y44" s="162"/>
      <c r="Z44" s="116">
        <f>43.1*0.75</f>
        <v>32.325000000000003</v>
      </c>
      <c r="AA44" s="120" t="s">
        <v>310</v>
      </c>
      <c r="AB44" s="162"/>
      <c r="AC44" s="118"/>
    </row>
    <row r="45" spans="1:29">
      <c r="A45" s="186"/>
      <c r="B45" s="187"/>
      <c r="C45" s="121" t="s">
        <v>125</v>
      </c>
      <c r="D45" s="171"/>
      <c r="E45" s="171"/>
      <c r="F45" s="171"/>
      <c r="G45" s="175"/>
      <c r="H45" s="122">
        <v>1</v>
      </c>
      <c r="I45" s="121" t="s">
        <v>385</v>
      </c>
      <c r="J45" s="163"/>
      <c r="K45" s="122">
        <f>1*0.75</f>
        <v>0.75</v>
      </c>
      <c r="L45" s="121" t="s">
        <v>385</v>
      </c>
      <c r="M45" s="163"/>
      <c r="N45" s="124"/>
      <c r="O45" s="113"/>
      <c r="P45" s="164"/>
      <c r="Q45" s="164"/>
      <c r="R45" s="121"/>
      <c r="S45" s="171"/>
      <c r="T45" s="171"/>
      <c r="U45" s="171"/>
      <c r="V45" s="175"/>
      <c r="W45" s="122">
        <v>0.9</v>
      </c>
      <c r="X45" s="121" t="s">
        <v>385</v>
      </c>
      <c r="Y45" s="163"/>
      <c r="Z45" s="122">
        <f>0.9*0.75</f>
        <v>0.67500000000000004</v>
      </c>
      <c r="AA45" s="121" t="s">
        <v>385</v>
      </c>
      <c r="AB45" s="163"/>
      <c r="AC45" s="124"/>
    </row>
    <row r="46" spans="1:29" ht="13.2" customHeight="1">
      <c r="A46" s="164">
        <v>10</v>
      </c>
      <c r="B46" s="187" t="s">
        <v>74</v>
      </c>
      <c r="C46" s="127" t="s">
        <v>197</v>
      </c>
      <c r="D46" s="171" t="s">
        <v>347</v>
      </c>
      <c r="E46" s="171" t="s">
        <v>348</v>
      </c>
      <c r="F46" s="171" t="s">
        <v>349</v>
      </c>
      <c r="G46" s="173" t="s">
        <v>350</v>
      </c>
      <c r="H46" s="125">
        <v>362</v>
      </c>
      <c r="I46" s="111" t="s">
        <v>382</v>
      </c>
      <c r="J46" s="161" t="s">
        <v>150</v>
      </c>
      <c r="K46" s="125">
        <f>362*0.75</f>
        <v>271.5</v>
      </c>
      <c r="L46" s="111" t="s">
        <v>382</v>
      </c>
      <c r="M46" s="161" t="s">
        <v>150</v>
      </c>
      <c r="N46" s="112" t="s">
        <v>45</v>
      </c>
      <c r="O46" s="113"/>
      <c r="P46" s="164">
        <v>25</v>
      </c>
      <c r="Q46" s="164" t="s">
        <v>317</v>
      </c>
      <c r="R46" s="129" t="s">
        <v>351</v>
      </c>
      <c r="S46" s="171" t="s">
        <v>352</v>
      </c>
      <c r="T46" s="171" t="s">
        <v>353</v>
      </c>
      <c r="U46" s="171" t="s">
        <v>354</v>
      </c>
      <c r="V46" s="173" t="s">
        <v>355</v>
      </c>
      <c r="W46" s="125">
        <v>383</v>
      </c>
      <c r="X46" s="111" t="s">
        <v>302</v>
      </c>
      <c r="Y46" s="161" t="s">
        <v>322</v>
      </c>
      <c r="Z46" s="125">
        <f>383*0.75</f>
        <v>287.25</v>
      </c>
      <c r="AA46" s="111" t="s">
        <v>302</v>
      </c>
      <c r="AB46" s="161" t="s">
        <v>322</v>
      </c>
      <c r="AC46" s="112" t="s">
        <v>45</v>
      </c>
    </row>
    <row r="47" spans="1:29">
      <c r="A47" s="186"/>
      <c r="B47" s="187"/>
      <c r="C47" s="120" t="s">
        <v>203</v>
      </c>
      <c r="D47" s="171"/>
      <c r="E47" s="171"/>
      <c r="F47" s="171"/>
      <c r="G47" s="174"/>
      <c r="H47" s="116">
        <v>17.999999999999996</v>
      </c>
      <c r="I47" s="120" t="s">
        <v>385</v>
      </c>
      <c r="J47" s="162"/>
      <c r="K47" s="116">
        <f>18*0.75</f>
        <v>13.5</v>
      </c>
      <c r="L47" s="120" t="s">
        <v>385</v>
      </c>
      <c r="M47" s="162"/>
      <c r="N47" s="118" t="s">
        <v>418</v>
      </c>
      <c r="O47" s="113"/>
      <c r="P47" s="164"/>
      <c r="Q47" s="164"/>
      <c r="R47" s="120" t="s">
        <v>217</v>
      </c>
      <c r="S47" s="171"/>
      <c r="T47" s="171"/>
      <c r="U47" s="171"/>
      <c r="V47" s="174"/>
      <c r="W47" s="116">
        <v>11.499999999999998</v>
      </c>
      <c r="X47" s="120" t="s">
        <v>385</v>
      </c>
      <c r="Y47" s="162"/>
      <c r="Z47" s="116">
        <f>11.5*0.75</f>
        <v>8.625</v>
      </c>
      <c r="AA47" s="120" t="s">
        <v>310</v>
      </c>
      <c r="AB47" s="162"/>
      <c r="AC47" s="118" t="s">
        <v>419</v>
      </c>
    </row>
    <row r="48" spans="1:29">
      <c r="A48" s="186"/>
      <c r="B48" s="187"/>
      <c r="C48" s="120" t="s">
        <v>152</v>
      </c>
      <c r="D48" s="171"/>
      <c r="E48" s="171"/>
      <c r="F48" s="171"/>
      <c r="G48" s="174"/>
      <c r="H48" s="116">
        <v>14</v>
      </c>
      <c r="I48" s="120" t="s">
        <v>385</v>
      </c>
      <c r="J48" s="162"/>
      <c r="K48" s="116">
        <f>14*0.75</f>
        <v>10.5</v>
      </c>
      <c r="L48" s="120" t="s">
        <v>385</v>
      </c>
      <c r="M48" s="162"/>
      <c r="N48" s="118"/>
      <c r="O48" s="113"/>
      <c r="P48" s="164"/>
      <c r="Q48" s="164"/>
      <c r="R48" s="120" t="s">
        <v>148</v>
      </c>
      <c r="S48" s="171"/>
      <c r="T48" s="171"/>
      <c r="U48" s="171"/>
      <c r="V48" s="174"/>
      <c r="W48" s="116">
        <v>12.299999999999999</v>
      </c>
      <c r="X48" s="120" t="s">
        <v>385</v>
      </c>
      <c r="Y48" s="162"/>
      <c r="Z48" s="116">
        <f>12.3*0.75</f>
        <v>9.2250000000000014</v>
      </c>
      <c r="AA48" s="120" t="s">
        <v>385</v>
      </c>
      <c r="AB48" s="162"/>
      <c r="AC48" s="118"/>
    </row>
    <row r="49" spans="1:29">
      <c r="A49" s="186"/>
      <c r="B49" s="187"/>
      <c r="C49" s="120"/>
      <c r="D49" s="171"/>
      <c r="E49" s="171"/>
      <c r="F49" s="171"/>
      <c r="G49" s="174"/>
      <c r="H49" s="116">
        <v>40.6</v>
      </c>
      <c r="I49" s="120" t="s">
        <v>385</v>
      </c>
      <c r="J49" s="162"/>
      <c r="K49" s="116">
        <f>40.6*0.75</f>
        <v>30.450000000000003</v>
      </c>
      <c r="L49" s="120" t="s">
        <v>385</v>
      </c>
      <c r="M49" s="162"/>
      <c r="N49" s="118"/>
      <c r="O49" s="113"/>
      <c r="P49" s="164"/>
      <c r="Q49" s="164"/>
      <c r="R49" s="120" t="s">
        <v>172</v>
      </c>
      <c r="S49" s="171"/>
      <c r="T49" s="171"/>
      <c r="U49" s="171"/>
      <c r="V49" s="174"/>
      <c r="W49" s="116">
        <v>53.999999999999993</v>
      </c>
      <c r="X49" s="120" t="s">
        <v>387</v>
      </c>
      <c r="Y49" s="162"/>
      <c r="Z49" s="116">
        <f>54*0.75</f>
        <v>40.5</v>
      </c>
      <c r="AA49" s="120" t="s">
        <v>310</v>
      </c>
      <c r="AB49" s="162"/>
      <c r="AC49" s="118"/>
    </row>
    <row r="50" spans="1:29">
      <c r="A50" s="186"/>
      <c r="B50" s="187"/>
      <c r="C50" s="121"/>
      <c r="D50" s="171"/>
      <c r="E50" s="171"/>
      <c r="F50" s="171"/>
      <c r="G50" s="175"/>
      <c r="H50" s="122">
        <v>1</v>
      </c>
      <c r="I50" s="121" t="s">
        <v>310</v>
      </c>
      <c r="J50" s="163"/>
      <c r="K50" s="122">
        <f>1*0.75</f>
        <v>0.75</v>
      </c>
      <c r="L50" s="121" t="s">
        <v>385</v>
      </c>
      <c r="M50" s="163"/>
      <c r="N50" s="124"/>
      <c r="O50" s="113"/>
      <c r="P50" s="164"/>
      <c r="Q50" s="164"/>
      <c r="R50" s="121"/>
      <c r="S50" s="171"/>
      <c r="T50" s="171"/>
      <c r="U50" s="171"/>
      <c r="V50" s="175"/>
      <c r="W50" s="122">
        <v>1.4000000000000001</v>
      </c>
      <c r="X50" s="121" t="s">
        <v>385</v>
      </c>
      <c r="Y50" s="163"/>
      <c r="Z50" s="122">
        <f>1.4*0.75</f>
        <v>1.0499999999999998</v>
      </c>
      <c r="AA50" s="121" t="s">
        <v>385</v>
      </c>
      <c r="AB50" s="163"/>
      <c r="AC50" s="124"/>
    </row>
    <row r="51" spans="1:29" ht="13.2" customHeight="1">
      <c r="A51" s="164">
        <v>11</v>
      </c>
      <c r="B51" s="187" t="s">
        <v>317</v>
      </c>
      <c r="C51" s="130" t="s">
        <v>351</v>
      </c>
      <c r="D51" s="171" t="s">
        <v>352</v>
      </c>
      <c r="E51" s="171" t="s">
        <v>353</v>
      </c>
      <c r="F51" s="171" t="s">
        <v>354</v>
      </c>
      <c r="G51" s="173" t="s">
        <v>355</v>
      </c>
      <c r="H51" s="125">
        <v>383</v>
      </c>
      <c r="I51" s="111" t="s">
        <v>302</v>
      </c>
      <c r="J51" s="161" t="s">
        <v>322</v>
      </c>
      <c r="K51" s="125">
        <f>383*0.75</f>
        <v>287.25</v>
      </c>
      <c r="L51" s="111" t="s">
        <v>382</v>
      </c>
      <c r="M51" s="161" t="s">
        <v>322</v>
      </c>
      <c r="N51" s="112" t="s">
        <v>45</v>
      </c>
      <c r="O51" s="113"/>
      <c r="P51" s="188" t="s">
        <v>420</v>
      </c>
      <c r="Q51" s="190" t="s">
        <v>421</v>
      </c>
      <c r="R51" s="109" t="s">
        <v>241</v>
      </c>
      <c r="S51" s="171" t="s">
        <v>356</v>
      </c>
      <c r="T51" s="171" t="s">
        <v>357</v>
      </c>
      <c r="U51" s="171" t="s">
        <v>358</v>
      </c>
      <c r="V51" s="173" t="s">
        <v>327</v>
      </c>
      <c r="W51" s="125">
        <v>415</v>
      </c>
      <c r="X51" s="111" t="s">
        <v>302</v>
      </c>
      <c r="Y51" s="161" t="s">
        <v>422</v>
      </c>
      <c r="Z51" s="125">
        <f>415*0.75</f>
        <v>311.25</v>
      </c>
      <c r="AA51" s="111" t="s">
        <v>382</v>
      </c>
      <c r="AB51" s="161" t="s">
        <v>422</v>
      </c>
      <c r="AC51" s="112" t="s">
        <v>45</v>
      </c>
    </row>
    <row r="52" spans="1:29">
      <c r="A52" s="186"/>
      <c r="B52" s="187"/>
      <c r="C52" s="120" t="s">
        <v>217</v>
      </c>
      <c r="D52" s="171"/>
      <c r="E52" s="171"/>
      <c r="F52" s="171"/>
      <c r="G52" s="174"/>
      <c r="H52" s="116">
        <v>11.499999999999998</v>
      </c>
      <c r="I52" s="120" t="s">
        <v>385</v>
      </c>
      <c r="J52" s="162"/>
      <c r="K52" s="116">
        <f>11.5*0.75</f>
        <v>8.625</v>
      </c>
      <c r="L52" s="120" t="s">
        <v>310</v>
      </c>
      <c r="M52" s="162"/>
      <c r="N52" s="118" t="s">
        <v>419</v>
      </c>
      <c r="O52" s="113"/>
      <c r="P52" s="191"/>
      <c r="Q52" s="190"/>
      <c r="R52" s="128" t="s">
        <v>243</v>
      </c>
      <c r="S52" s="171"/>
      <c r="T52" s="171"/>
      <c r="U52" s="171"/>
      <c r="V52" s="174"/>
      <c r="W52" s="116">
        <v>15.999999999999998</v>
      </c>
      <c r="X52" s="120" t="s">
        <v>385</v>
      </c>
      <c r="Y52" s="162"/>
      <c r="Z52" s="116">
        <f>16*0.75</f>
        <v>12</v>
      </c>
      <c r="AA52" s="120" t="s">
        <v>310</v>
      </c>
      <c r="AB52" s="162"/>
      <c r="AC52" s="118" t="s">
        <v>423</v>
      </c>
    </row>
    <row r="53" spans="1:29">
      <c r="A53" s="186"/>
      <c r="B53" s="187"/>
      <c r="C53" s="120" t="s">
        <v>148</v>
      </c>
      <c r="D53" s="171"/>
      <c r="E53" s="171"/>
      <c r="F53" s="171"/>
      <c r="G53" s="174"/>
      <c r="H53" s="116">
        <v>12.299999999999999</v>
      </c>
      <c r="I53" s="120" t="s">
        <v>385</v>
      </c>
      <c r="J53" s="162"/>
      <c r="K53" s="116">
        <f>12.3*0.75</f>
        <v>9.2250000000000014</v>
      </c>
      <c r="L53" s="120" t="s">
        <v>385</v>
      </c>
      <c r="M53" s="162"/>
      <c r="N53" s="118"/>
      <c r="O53" s="113"/>
      <c r="P53" s="191"/>
      <c r="Q53" s="190"/>
      <c r="R53" s="120" t="s">
        <v>98</v>
      </c>
      <c r="S53" s="171"/>
      <c r="T53" s="171"/>
      <c r="U53" s="171"/>
      <c r="V53" s="174"/>
      <c r="W53" s="116">
        <v>12.8</v>
      </c>
      <c r="X53" s="120" t="s">
        <v>385</v>
      </c>
      <c r="Y53" s="162"/>
      <c r="Z53" s="116">
        <f>12.8*0.75</f>
        <v>9.6000000000000014</v>
      </c>
      <c r="AA53" s="120" t="s">
        <v>385</v>
      </c>
      <c r="AB53" s="162"/>
      <c r="AC53" s="118" t="s">
        <v>410</v>
      </c>
    </row>
    <row r="54" spans="1:29">
      <c r="A54" s="186"/>
      <c r="B54" s="187"/>
      <c r="C54" s="120" t="s">
        <v>172</v>
      </c>
      <c r="D54" s="171"/>
      <c r="E54" s="171"/>
      <c r="F54" s="171"/>
      <c r="G54" s="174"/>
      <c r="H54" s="116">
        <v>53.999999999999993</v>
      </c>
      <c r="I54" s="120" t="s">
        <v>385</v>
      </c>
      <c r="J54" s="162"/>
      <c r="K54" s="116">
        <f>54*0.75</f>
        <v>40.5</v>
      </c>
      <c r="L54" s="120" t="s">
        <v>385</v>
      </c>
      <c r="M54" s="162"/>
      <c r="N54" s="118"/>
      <c r="O54" s="113"/>
      <c r="P54" s="191"/>
      <c r="Q54" s="190"/>
      <c r="R54" s="120" t="s">
        <v>128</v>
      </c>
      <c r="S54" s="171"/>
      <c r="T54" s="171"/>
      <c r="U54" s="171"/>
      <c r="V54" s="174"/>
      <c r="W54" s="116">
        <v>57</v>
      </c>
      <c r="X54" s="120" t="s">
        <v>385</v>
      </c>
      <c r="Y54" s="162"/>
      <c r="Z54" s="116">
        <f>57*0.75</f>
        <v>42.75</v>
      </c>
      <c r="AA54" s="120" t="s">
        <v>385</v>
      </c>
      <c r="AB54" s="162"/>
      <c r="AC54" s="118"/>
    </row>
    <row r="55" spans="1:29">
      <c r="A55" s="186"/>
      <c r="B55" s="187"/>
      <c r="C55" s="121"/>
      <c r="D55" s="171"/>
      <c r="E55" s="171"/>
      <c r="F55" s="171"/>
      <c r="G55" s="175"/>
      <c r="H55" s="122">
        <v>1.4000000000000001</v>
      </c>
      <c r="I55" s="121" t="s">
        <v>385</v>
      </c>
      <c r="J55" s="163"/>
      <c r="K55" s="122">
        <f>1.4*0.75</f>
        <v>1.0499999999999998</v>
      </c>
      <c r="L55" s="121" t="s">
        <v>385</v>
      </c>
      <c r="M55" s="163"/>
      <c r="N55" s="124"/>
      <c r="O55" s="113"/>
      <c r="P55" s="191"/>
      <c r="Q55" s="190"/>
      <c r="R55" s="121"/>
      <c r="S55" s="171"/>
      <c r="T55" s="171"/>
      <c r="U55" s="171"/>
      <c r="V55" s="175"/>
      <c r="W55" s="122">
        <v>1.2</v>
      </c>
      <c r="X55" s="121" t="s">
        <v>310</v>
      </c>
      <c r="Y55" s="163"/>
      <c r="Z55" s="122">
        <f>1.2*0.75</f>
        <v>0.89999999999999991</v>
      </c>
      <c r="AA55" s="121" t="s">
        <v>385</v>
      </c>
      <c r="AB55" s="163"/>
      <c r="AC55" s="124"/>
    </row>
    <row r="56" spans="1:29" ht="13.2" customHeight="1">
      <c r="A56" s="188" t="s">
        <v>424</v>
      </c>
      <c r="B56" s="190" t="s">
        <v>421</v>
      </c>
      <c r="C56" s="131" t="s">
        <v>219</v>
      </c>
      <c r="D56" s="171" t="s">
        <v>359</v>
      </c>
      <c r="E56" s="171" t="s">
        <v>360</v>
      </c>
      <c r="F56" s="171" t="s">
        <v>361</v>
      </c>
      <c r="G56" s="173" t="s">
        <v>362</v>
      </c>
      <c r="H56" s="125">
        <v>423</v>
      </c>
      <c r="I56" s="111" t="s">
        <v>382</v>
      </c>
      <c r="J56" s="161" t="s">
        <v>322</v>
      </c>
      <c r="K56" s="125">
        <f>423*0.75</f>
        <v>317.25</v>
      </c>
      <c r="L56" s="111" t="s">
        <v>302</v>
      </c>
      <c r="M56" s="161" t="s">
        <v>322</v>
      </c>
      <c r="N56" s="112" t="s">
        <v>45</v>
      </c>
      <c r="O56" s="113"/>
      <c r="P56" s="164">
        <v>27</v>
      </c>
      <c r="Q56" s="164" t="s">
        <v>328</v>
      </c>
      <c r="R56" s="109" t="s">
        <v>425</v>
      </c>
      <c r="S56" s="183" t="s">
        <v>426</v>
      </c>
      <c r="T56" s="183" t="s">
        <v>427</v>
      </c>
      <c r="U56" s="183" t="s">
        <v>428</v>
      </c>
      <c r="V56" s="183" t="s">
        <v>429</v>
      </c>
      <c r="W56" s="125">
        <v>393</v>
      </c>
      <c r="X56" s="111" t="s">
        <v>382</v>
      </c>
      <c r="Y56" s="161" t="s">
        <v>56</v>
      </c>
      <c r="Z56" s="125">
        <v>262</v>
      </c>
      <c r="AA56" s="111" t="s">
        <v>382</v>
      </c>
      <c r="AB56" s="183" t="s">
        <v>430</v>
      </c>
      <c r="AC56" s="109" t="s">
        <v>363</v>
      </c>
    </row>
    <row r="57" spans="1:29">
      <c r="A57" s="189"/>
      <c r="B57" s="190"/>
      <c r="C57" s="128" t="s">
        <v>225</v>
      </c>
      <c r="D57" s="171"/>
      <c r="E57" s="171"/>
      <c r="F57" s="171"/>
      <c r="G57" s="174"/>
      <c r="H57" s="116">
        <v>15.399999999999997</v>
      </c>
      <c r="I57" s="120" t="s">
        <v>310</v>
      </c>
      <c r="J57" s="162"/>
      <c r="K57" s="116">
        <f>15.4*0.75</f>
        <v>11.55</v>
      </c>
      <c r="L57" s="120" t="s">
        <v>387</v>
      </c>
      <c r="M57" s="162"/>
      <c r="N57" s="118" t="s">
        <v>330</v>
      </c>
      <c r="O57" s="113"/>
      <c r="P57" s="164"/>
      <c r="Q57" s="164"/>
      <c r="R57" s="120" t="s">
        <v>431</v>
      </c>
      <c r="S57" s="184"/>
      <c r="T57" s="184"/>
      <c r="U57" s="184"/>
      <c r="V57" s="184"/>
      <c r="W57" s="116">
        <v>12</v>
      </c>
      <c r="X57" s="120" t="s">
        <v>385</v>
      </c>
      <c r="Y57" s="162"/>
      <c r="Z57" s="116">
        <v>8.1999999999999993</v>
      </c>
      <c r="AA57" s="120" t="s">
        <v>310</v>
      </c>
      <c r="AB57" s="184"/>
      <c r="AC57" s="120" t="s">
        <v>331</v>
      </c>
    </row>
    <row r="58" spans="1:29">
      <c r="A58" s="189"/>
      <c r="B58" s="190"/>
      <c r="C58" s="120" t="s">
        <v>98</v>
      </c>
      <c r="D58" s="171"/>
      <c r="E58" s="171"/>
      <c r="F58" s="171"/>
      <c r="G58" s="174"/>
      <c r="H58" s="116">
        <v>12.400000000000002</v>
      </c>
      <c r="I58" s="120" t="s">
        <v>385</v>
      </c>
      <c r="J58" s="162"/>
      <c r="K58" s="116">
        <f>12.4*0.75</f>
        <v>9.3000000000000007</v>
      </c>
      <c r="L58" s="120" t="s">
        <v>385</v>
      </c>
      <c r="M58" s="162"/>
      <c r="N58" s="118" t="s">
        <v>432</v>
      </c>
      <c r="O58" s="113"/>
      <c r="P58" s="164"/>
      <c r="Q58" s="164"/>
      <c r="R58" s="120" t="s">
        <v>433</v>
      </c>
      <c r="S58" s="184"/>
      <c r="T58" s="184"/>
      <c r="U58" s="184"/>
      <c r="V58" s="184"/>
      <c r="W58" s="116">
        <v>8.4999999999999982</v>
      </c>
      <c r="X58" s="120" t="s">
        <v>385</v>
      </c>
      <c r="Y58" s="162"/>
      <c r="Z58" s="116">
        <v>7.3</v>
      </c>
      <c r="AA58" s="120" t="s">
        <v>385</v>
      </c>
      <c r="AB58" s="184"/>
      <c r="AC58" s="120" t="s">
        <v>393</v>
      </c>
    </row>
    <row r="59" spans="1:29">
      <c r="A59" s="189"/>
      <c r="B59" s="190"/>
      <c r="C59" s="120" t="s">
        <v>128</v>
      </c>
      <c r="D59" s="171"/>
      <c r="E59" s="171"/>
      <c r="F59" s="171"/>
      <c r="G59" s="174"/>
      <c r="H59" s="116">
        <v>59.999999999999993</v>
      </c>
      <c r="I59" s="120" t="s">
        <v>310</v>
      </c>
      <c r="J59" s="162"/>
      <c r="K59" s="116">
        <f>60*0.75</f>
        <v>45</v>
      </c>
      <c r="L59" s="120" t="s">
        <v>385</v>
      </c>
      <c r="M59" s="162"/>
      <c r="N59" s="118"/>
      <c r="O59" s="113"/>
      <c r="P59" s="164"/>
      <c r="Q59" s="164"/>
      <c r="R59" s="120"/>
      <c r="S59" s="184"/>
      <c r="T59" s="184"/>
      <c r="U59" s="184"/>
      <c r="V59" s="184"/>
      <c r="W59" s="116">
        <v>65.5</v>
      </c>
      <c r="X59" s="120" t="s">
        <v>385</v>
      </c>
      <c r="Y59" s="162"/>
      <c r="Z59" s="116">
        <v>39</v>
      </c>
      <c r="AA59" s="120" t="s">
        <v>310</v>
      </c>
      <c r="AB59" s="184"/>
      <c r="AC59" s="120"/>
    </row>
    <row r="60" spans="1:29">
      <c r="A60" s="189"/>
      <c r="B60" s="190"/>
      <c r="C60" s="121"/>
      <c r="D60" s="171"/>
      <c r="E60" s="171"/>
      <c r="F60" s="171"/>
      <c r="G60" s="175"/>
      <c r="H60" s="122">
        <v>1</v>
      </c>
      <c r="I60" s="121" t="s">
        <v>385</v>
      </c>
      <c r="J60" s="163"/>
      <c r="K60" s="122">
        <f>1*0.75</f>
        <v>0.75</v>
      </c>
      <c r="L60" s="121" t="s">
        <v>310</v>
      </c>
      <c r="M60" s="163"/>
      <c r="N60" s="124"/>
      <c r="O60" s="113"/>
      <c r="P60" s="164"/>
      <c r="Q60" s="164"/>
      <c r="R60" s="121"/>
      <c r="S60" s="185"/>
      <c r="T60" s="185"/>
      <c r="U60" s="185"/>
      <c r="V60" s="185"/>
      <c r="W60" s="122">
        <v>1</v>
      </c>
      <c r="X60" s="121" t="s">
        <v>385</v>
      </c>
      <c r="Y60" s="163"/>
      <c r="Z60" s="122">
        <v>1.1000000000000001</v>
      </c>
      <c r="AA60" s="121" t="s">
        <v>385</v>
      </c>
      <c r="AB60" s="185"/>
      <c r="AC60" s="121"/>
    </row>
    <row r="61" spans="1:29" ht="13.2" customHeight="1">
      <c r="A61" s="164">
        <v>13</v>
      </c>
      <c r="B61" s="187" t="s">
        <v>328</v>
      </c>
      <c r="C61" s="109" t="s">
        <v>425</v>
      </c>
      <c r="D61" s="183" t="s">
        <v>426</v>
      </c>
      <c r="E61" s="183" t="s">
        <v>427</v>
      </c>
      <c r="F61" s="183" t="s">
        <v>428</v>
      </c>
      <c r="G61" s="183" t="s">
        <v>434</v>
      </c>
      <c r="H61" s="125">
        <v>393</v>
      </c>
      <c r="I61" s="111" t="s">
        <v>382</v>
      </c>
      <c r="J61" s="161" t="s">
        <v>56</v>
      </c>
      <c r="K61" s="125">
        <v>262</v>
      </c>
      <c r="L61" s="111" t="s">
        <v>382</v>
      </c>
      <c r="M61" s="183" t="s">
        <v>435</v>
      </c>
      <c r="N61" s="109" t="s">
        <v>403</v>
      </c>
      <c r="O61" s="113"/>
      <c r="P61" s="176"/>
      <c r="Q61" s="177"/>
      <c r="R61" s="177"/>
      <c r="S61" s="177"/>
      <c r="T61" s="177"/>
      <c r="U61" s="177"/>
      <c r="V61" s="177"/>
      <c r="W61" s="177"/>
      <c r="X61" s="177"/>
      <c r="Y61" s="177"/>
      <c r="Z61" s="177"/>
      <c r="AA61" s="177"/>
      <c r="AB61" s="177"/>
      <c r="AC61" s="178"/>
    </row>
    <row r="62" spans="1:29">
      <c r="A62" s="186"/>
      <c r="B62" s="187"/>
      <c r="C62" s="120" t="s">
        <v>436</v>
      </c>
      <c r="D62" s="184"/>
      <c r="E62" s="184"/>
      <c r="F62" s="184"/>
      <c r="G62" s="184"/>
      <c r="H62" s="116">
        <v>12</v>
      </c>
      <c r="I62" s="120" t="s">
        <v>385</v>
      </c>
      <c r="J62" s="162"/>
      <c r="K62" s="116">
        <v>8.1999999999999993</v>
      </c>
      <c r="L62" s="120" t="s">
        <v>385</v>
      </c>
      <c r="M62" s="184"/>
      <c r="N62" s="120" t="s">
        <v>437</v>
      </c>
      <c r="O62" s="113"/>
      <c r="P62" s="179"/>
      <c r="Q62" s="180"/>
      <c r="R62" s="180"/>
      <c r="S62" s="180"/>
      <c r="T62" s="180"/>
      <c r="U62" s="180"/>
      <c r="V62" s="180"/>
      <c r="W62" s="180"/>
      <c r="X62" s="180"/>
      <c r="Y62" s="180"/>
      <c r="Z62" s="180"/>
      <c r="AA62" s="180"/>
      <c r="AB62" s="180"/>
      <c r="AC62" s="181"/>
    </row>
    <row r="63" spans="1:29" ht="13.2" customHeight="1">
      <c r="A63" s="186"/>
      <c r="B63" s="187"/>
      <c r="C63" s="120" t="s">
        <v>438</v>
      </c>
      <c r="D63" s="184"/>
      <c r="E63" s="184"/>
      <c r="F63" s="184"/>
      <c r="G63" s="184"/>
      <c r="H63" s="116">
        <v>8.4999999999999982</v>
      </c>
      <c r="I63" s="120" t="s">
        <v>310</v>
      </c>
      <c r="J63" s="162"/>
      <c r="K63" s="116">
        <v>7.3</v>
      </c>
      <c r="L63" s="120" t="s">
        <v>310</v>
      </c>
      <c r="M63" s="184"/>
      <c r="N63" s="120" t="s">
        <v>410</v>
      </c>
      <c r="O63" s="113"/>
      <c r="P63" s="170">
        <v>29</v>
      </c>
      <c r="Q63" s="164" t="s">
        <v>297</v>
      </c>
      <c r="R63" s="109" t="s">
        <v>24</v>
      </c>
      <c r="S63" s="171" t="s">
        <v>298</v>
      </c>
      <c r="T63" s="171" t="s">
        <v>299</v>
      </c>
      <c r="U63" s="171" t="s">
        <v>300</v>
      </c>
      <c r="V63" s="173" t="s">
        <v>301</v>
      </c>
      <c r="W63" s="125">
        <v>367</v>
      </c>
      <c r="X63" s="111" t="s">
        <v>302</v>
      </c>
      <c r="Y63" s="161" t="s">
        <v>439</v>
      </c>
      <c r="Z63" s="125">
        <f>367*0.75</f>
        <v>275.25</v>
      </c>
      <c r="AA63" s="111" t="s">
        <v>382</v>
      </c>
      <c r="AB63" s="161" t="s">
        <v>303</v>
      </c>
      <c r="AC63" s="112" t="s">
        <v>45</v>
      </c>
    </row>
    <row r="64" spans="1:29">
      <c r="A64" s="186"/>
      <c r="B64" s="187"/>
      <c r="C64" s="120"/>
      <c r="D64" s="184"/>
      <c r="E64" s="184"/>
      <c r="F64" s="184"/>
      <c r="G64" s="184"/>
      <c r="H64" s="116">
        <v>65.5</v>
      </c>
      <c r="I64" s="120" t="s">
        <v>385</v>
      </c>
      <c r="J64" s="162"/>
      <c r="K64" s="116">
        <v>39</v>
      </c>
      <c r="L64" s="120" t="s">
        <v>385</v>
      </c>
      <c r="M64" s="184"/>
      <c r="N64" s="120"/>
      <c r="O64" s="113"/>
      <c r="P64" s="170"/>
      <c r="Q64" s="164"/>
      <c r="R64" s="115" t="s">
        <v>309</v>
      </c>
      <c r="S64" s="171"/>
      <c r="T64" s="171"/>
      <c r="U64" s="171"/>
      <c r="V64" s="174"/>
      <c r="W64" s="116">
        <v>13.399999999999999</v>
      </c>
      <c r="X64" s="120" t="s">
        <v>310</v>
      </c>
      <c r="Y64" s="162"/>
      <c r="Z64" s="116">
        <f>13.4*0.75</f>
        <v>10.050000000000001</v>
      </c>
      <c r="AA64" s="120" t="s">
        <v>385</v>
      </c>
      <c r="AB64" s="162"/>
      <c r="AC64" s="118" t="s">
        <v>384</v>
      </c>
    </row>
    <row r="65" spans="1:29">
      <c r="A65" s="186"/>
      <c r="B65" s="187"/>
      <c r="C65" s="121"/>
      <c r="D65" s="185"/>
      <c r="E65" s="185"/>
      <c r="F65" s="185"/>
      <c r="G65" s="185"/>
      <c r="H65" s="122">
        <v>1</v>
      </c>
      <c r="I65" s="121" t="s">
        <v>385</v>
      </c>
      <c r="J65" s="163"/>
      <c r="K65" s="122">
        <v>1.1000000000000001</v>
      </c>
      <c r="L65" s="121" t="s">
        <v>385</v>
      </c>
      <c r="M65" s="185"/>
      <c r="N65" s="121"/>
      <c r="O65" s="113"/>
      <c r="P65" s="170"/>
      <c r="Q65" s="164"/>
      <c r="R65" s="120" t="s">
        <v>48</v>
      </c>
      <c r="S65" s="171"/>
      <c r="T65" s="171"/>
      <c r="U65" s="171"/>
      <c r="V65" s="174"/>
      <c r="W65" s="116">
        <v>10.099999999999998</v>
      </c>
      <c r="X65" s="120" t="s">
        <v>310</v>
      </c>
      <c r="Y65" s="162"/>
      <c r="Z65" s="116">
        <f>10.1*0.75</f>
        <v>7.5749999999999993</v>
      </c>
      <c r="AA65" s="120" t="s">
        <v>385</v>
      </c>
      <c r="AB65" s="162"/>
      <c r="AC65" s="118"/>
    </row>
    <row r="66" spans="1:29">
      <c r="A66" s="176"/>
      <c r="B66" s="177"/>
      <c r="C66" s="177"/>
      <c r="D66" s="177"/>
      <c r="E66" s="177"/>
      <c r="F66" s="177"/>
      <c r="G66" s="177"/>
      <c r="H66" s="177"/>
      <c r="I66" s="177"/>
      <c r="J66" s="177"/>
      <c r="K66" s="177"/>
      <c r="L66" s="177"/>
      <c r="M66" s="177"/>
      <c r="N66" s="178"/>
      <c r="O66" s="113"/>
      <c r="P66" s="170"/>
      <c r="Q66" s="164"/>
      <c r="R66" s="120" t="s">
        <v>59</v>
      </c>
      <c r="S66" s="171"/>
      <c r="T66" s="171"/>
      <c r="U66" s="171"/>
      <c r="V66" s="174"/>
      <c r="W66" s="116">
        <v>54.899999999999991</v>
      </c>
      <c r="X66" s="120" t="s">
        <v>310</v>
      </c>
      <c r="Y66" s="162"/>
      <c r="Z66" s="116">
        <f>54.9*0.75</f>
        <v>41.174999999999997</v>
      </c>
      <c r="AA66" s="120" t="s">
        <v>387</v>
      </c>
      <c r="AB66" s="162"/>
      <c r="AC66" s="118"/>
    </row>
    <row r="67" spans="1:29">
      <c r="A67" s="179"/>
      <c r="B67" s="180"/>
      <c r="C67" s="180"/>
      <c r="D67" s="180"/>
      <c r="E67" s="180"/>
      <c r="F67" s="180"/>
      <c r="G67" s="180"/>
      <c r="H67" s="180"/>
      <c r="I67" s="180"/>
      <c r="J67" s="180"/>
      <c r="K67" s="180"/>
      <c r="L67" s="180"/>
      <c r="M67" s="180"/>
      <c r="N67" s="181"/>
      <c r="O67" s="113"/>
      <c r="P67" s="170"/>
      <c r="Q67" s="164"/>
      <c r="R67" s="121" t="s">
        <v>64</v>
      </c>
      <c r="S67" s="171"/>
      <c r="T67" s="171"/>
      <c r="U67" s="171"/>
      <c r="V67" s="175"/>
      <c r="W67" s="122">
        <v>1.1000000000000001</v>
      </c>
      <c r="X67" s="121" t="s">
        <v>385</v>
      </c>
      <c r="Y67" s="163"/>
      <c r="Z67" s="122">
        <f>1.1*0.75</f>
        <v>0.82500000000000007</v>
      </c>
      <c r="AA67" s="121" t="s">
        <v>310</v>
      </c>
      <c r="AB67" s="163"/>
      <c r="AC67" s="124"/>
    </row>
    <row r="68" spans="1:29" ht="13.2" customHeight="1">
      <c r="A68" s="170">
        <v>15</v>
      </c>
      <c r="B68" s="182" t="s">
        <v>297</v>
      </c>
      <c r="C68" s="120" t="s">
        <v>24</v>
      </c>
      <c r="D68" s="171" t="s">
        <v>298</v>
      </c>
      <c r="E68" s="171" t="s">
        <v>299</v>
      </c>
      <c r="F68" s="171" t="s">
        <v>300</v>
      </c>
      <c r="G68" s="173" t="s">
        <v>301</v>
      </c>
      <c r="H68" s="125">
        <v>367</v>
      </c>
      <c r="I68" s="111" t="s">
        <v>382</v>
      </c>
      <c r="J68" s="161" t="s">
        <v>303</v>
      </c>
      <c r="K68" s="125">
        <f>367*0.75</f>
        <v>275.25</v>
      </c>
      <c r="L68" s="111" t="s">
        <v>382</v>
      </c>
      <c r="M68" s="161" t="s">
        <v>303</v>
      </c>
      <c r="N68" s="112" t="s">
        <v>45</v>
      </c>
      <c r="O68" s="113"/>
      <c r="P68" s="170">
        <v>30</v>
      </c>
      <c r="Q68" s="164" t="s">
        <v>304</v>
      </c>
      <c r="R68" s="111" t="s">
        <v>25</v>
      </c>
      <c r="S68" s="171" t="s">
        <v>305</v>
      </c>
      <c r="T68" s="171" t="s">
        <v>306</v>
      </c>
      <c r="U68" s="171" t="s">
        <v>307</v>
      </c>
      <c r="V68" s="173" t="s">
        <v>308</v>
      </c>
      <c r="W68" s="125">
        <v>427</v>
      </c>
      <c r="X68" s="111" t="s">
        <v>382</v>
      </c>
      <c r="Y68" s="161" t="s">
        <v>150</v>
      </c>
      <c r="Z68" s="125">
        <f>427*0.75</f>
        <v>320.25</v>
      </c>
      <c r="AA68" s="111" t="s">
        <v>382</v>
      </c>
      <c r="AB68" s="161" t="s">
        <v>150</v>
      </c>
      <c r="AC68" s="112" t="s">
        <v>45</v>
      </c>
    </row>
    <row r="69" spans="1:29">
      <c r="A69" s="164"/>
      <c r="B69" s="182"/>
      <c r="C69" s="115" t="s">
        <v>309</v>
      </c>
      <c r="D69" s="171"/>
      <c r="E69" s="171"/>
      <c r="F69" s="171"/>
      <c r="G69" s="174"/>
      <c r="H69" s="116">
        <v>13.399999999999999</v>
      </c>
      <c r="I69" s="120" t="s">
        <v>310</v>
      </c>
      <c r="J69" s="162"/>
      <c r="K69" s="116">
        <f>13.4*0.75</f>
        <v>10.050000000000001</v>
      </c>
      <c r="L69" s="120" t="s">
        <v>385</v>
      </c>
      <c r="M69" s="162"/>
      <c r="N69" s="118" t="s">
        <v>440</v>
      </c>
      <c r="O69" s="113"/>
      <c r="P69" s="170"/>
      <c r="Q69" s="164"/>
      <c r="R69" s="119" t="s">
        <v>79</v>
      </c>
      <c r="S69" s="172"/>
      <c r="T69" s="172"/>
      <c r="U69" s="171"/>
      <c r="V69" s="174"/>
      <c r="W69" s="116">
        <v>13.199999999999998</v>
      </c>
      <c r="X69" s="120" t="s">
        <v>385</v>
      </c>
      <c r="Y69" s="162"/>
      <c r="Z69" s="116">
        <f>13.2*0.75</f>
        <v>9.8999999999999986</v>
      </c>
      <c r="AA69" s="120" t="s">
        <v>310</v>
      </c>
      <c r="AB69" s="162"/>
      <c r="AC69" s="118" t="s">
        <v>416</v>
      </c>
    </row>
    <row r="70" spans="1:29">
      <c r="A70" s="164"/>
      <c r="B70" s="182"/>
      <c r="C70" s="120" t="s">
        <v>48</v>
      </c>
      <c r="D70" s="171"/>
      <c r="E70" s="171"/>
      <c r="F70" s="171"/>
      <c r="G70" s="174"/>
      <c r="H70" s="116">
        <v>10.099999999999998</v>
      </c>
      <c r="I70" s="120" t="s">
        <v>310</v>
      </c>
      <c r="J70" s="162"/>
      <c r="K70" s="116">
        <f>10.1*0.75</f>
        <v>7.5749999999999993</v>
      </c>
      <c r="L70" s="120" t="s">
        <v>387</v>
      </c>
      <c r="M70" s="162"/>
      <c r="N70" s="118"/>
      <c r="O70" s="113"/>
      <c r="P70" s="170"/>
      <c r="Q70" s="164"/>
      <c r="R70" s="120" t="s">
        <v>93</v>
      </c>
      <c r="S70" s="172"/>
      <c r="T70" s="172"/>
      <c r="U70" s="171"/>
      <c r="V70" s="174"/>
      <c r="W70" s="116">
        <v>9.5</v>
      </c>
      <c r="X70" s="120" t="s">
        <v>385</v>
      </c>
      <c r="Y70" s="162"/>
      <c r="Z70" s="116">
        <f>9.5*0.75</f>
        <v>7.125</v>
      </c>
      <c r="AA70" s="120" t="s">
        <v>310</v>
      </c>
      <c r="AB70" s="162"/>
      <c r="AC70" s="118"/>
    </row>
    <row r="71" spans="1:29">
      <c r="A71" s="164"/>
      <c r="B71" s="182"/>
      <c r="C71" s="120" t="s">
        <v>59</v>
      </c>
      <c r="D71" s="171"/>
      <c r="E71" s="171"/>
      <c r="F71" s="171"/>
      <c r="G71" s="174"/>
      <c r="H71" s="116">
        <v>54.899999999999991</v>
      </c>
      <c r="I71" s="120" t="s">
        <v>310</v>
      </c>
      <c r="J71" s="162"/>
      <c r="K71" s="116">
        <f>54.9*0.75</f>
        <v>41.174999999999997</v>
      </c>
      <c r="L71" s="120" t="s">
        <v>385</v>
      </c>
      <c r="M71" s="162"/>
      <c r="N71" s="118"/>
      <c r="O71" s="113"/>
      <c r="P71" s="170"/>
      <c r="Q71" s="164"/>
      <c r="R71" s="120" t="s">
        <v>98</v>
      </c>
      <c r="S71" s="172"/>
      <c r="T71" s="172"/>
      <c r="U71" s="171"/>
      <c r="V71" s="174"/>
      <c r="W71" s="116">
        <v>70</v>
      </c>
      <c r="X71" s="120" t="s">
        <v>385</v>
      </c>
      <c r="Y71" s="162"/>
      <c r="Z71" s="116">
        <f>70*0.75</f>
        <v>52.5</v>
      </c>
      <c r="AA71" s="120" t="s">
        <v>385</v>
      </c>
      <c r="AB71" s="162"/>
      <c r="AC71" s="118"/>
    </row>
    <row r="72" spans="1:29">
      <c r="A72" s="164"/>
      <c r="B72" s="182"/>
      <c r="C72" s="121" t="s">
        <v>64</v>
      </c>
      <c r="D72" s="173"/>
      <c r="E72" s="173"/>
      <c r="F72" s="173"/>
      <c r="G72" s="175"/>
      <c r="H72" s="116">
        <v>1.1000000000000001</v>
      </c>
      <c r="I72" s="120" t="s">
        <v>310</v>
      </c>
      <c r="J72" s="162"/>
      <c r="K72" s="122">
        <f>1.1*0.75</f>
        <v>0.82500000000000007</v>
      </c>
      <c r="L72" s="121" t="s">
        <v>385</v>
      </c>
      <c r="M72" s="163"/>
      <c r="N72" s="124" t="s">
        <v>441</v>
      </c>
      <c r="O72" s="113"/>
      <c r="P72" s="170"/>
      <c r="Q72" s="164"/>
      <c r="R72" s="121" t="s">
        <v>101</v>
      </c>
      <c r="S72" s="172"/>
      <c r="T72" s="172"/>
      <c r="U72" s="171"/>
      <c r="V72" s="175"/>
      <c r="W72" s="122">
        <v>0.8</v>
      </c>
      <c r="X72" s="121" t="s">
        <v>385</v>
      </c>
      <c r="Y72" s="163"/>
      <c r="Z72" s="122">
        <f>0.8*0.75</f>
        <v>0.60000000000000009</v>
      </c>
      <c r="AA72" s="121" t="s">
        <v>310</v>
      </c>
      <c r="AB72" s="163"/>
      <c r="AC72" s="124"/>
    </row>
    <row r="73" spans="1:29">
      <c r="A73" s="164" t="s">
        <v>442</v>
      </c>
      <c r="B73" s="164"/>
      <c r="C73" s="132" t="s">
        <v>443</v>
      </c>
      <c r="D73" s="165" t="s">
        <v>444</v>
      </c>
      <c r="E73" s="166"/>
      <c r="F73" s="166"/>
      <c r="G73" s="166"/>
      <c r="H73" s="166"/>
      <c r="I73" s="166"/>
      <c r="J73" s="166"/>
      <c r="K73" s="166"/>
      <c r="L73" s="166"/>
      <c r="M73" s="167"/>
      <c r="O73" s="134"/>
      <c r="P73" s="168" t="s">
        <v>445</v>
      </c>
      <c r="Q73" s="169"/>
      <c r="R73" s="169"/>
      <c r="S73" s="169"/>
      <c r="T73" s="169"/>
      <c r="U73" s="169"/>
      <c r="V73" s="169"/>
      <c r="W73" s="169"/>
      <c r="X73" s="169"/>
      <c r="Y73" s="169"/>
      <c r="Z73" s="169"/>
      <c r="AA73" s="169"/>
      <c r="AB73" s="135"/>
      <c r="AC73" s="136"/>
    </row>
    <row r="74" spans="1:29">
      <c r="A74" s="164"/>
      <c r="B74" s="164"/>
      <c r="C74" s="132" t="s">
        <v>446</v>
      </c>
      <c r="D74" s="114" t="s">
        <v>447</v>
      </c>
      <c r="E74" s="114" t="s">
        <v>448</v>
      </c>
      <c r="F74" s="114" t="s">
        <v>449</v>
      </c>
      <c r="G74" s="114" t="s">
        <v>450</v>
      </c>
      <c r="K74" s="164" t="s">
        <v>451</v>
      </c>
      <c r="L74" s="164"/>
      <c r="M74" s="164"/>
      <c r="O74" s="134"/>
      <c r="P74" s="137" t="s">
        <v>452</v>
      </c>
      <c r="Q74" s="136"/>
      <c r="R74" s="136"/>
      <c r="S74" s="136"/>
      <c r="T74" s="136"/>
      <c r="U74" s="136"/>
      <c r="V74" s="136"/>
      <c r="W74" s="136"/>
      <c r="X74" s="136"/>
      <c r="Y74" s="136"/>
      <c r="Z74" s="136"/>
      <c r="AA74" s="136"/>
      <c r="AC74" s="136"/>
    </row>
    <row r="75" spans="1:29">
      <c r="A75" s="133" t="s">
        <v>453</v>
      </c>
      <c r="B75" s="138" t="s">
        <v>454</v>
      </c>
      <c r="C75" s="132" t="s">
        <v>455</v>
      </c>
      <c r="D75" s="139">
        <f>11897/30</f>
        <v>396.56666666666666</v>
      </c>
      <c r="E75" s="140">
        <f>434.300000000001/30</f>
        <v>14.476666666666699</v>
      </c>
      <c r="F75" s="140">
        <f>319.6/30</f>
        <v>10.653333333333334</v>
      </c>
      <c r="G75" s="140">
        <f>1761.8/30</f>
        <v>58.726666666666667</v>
      </c>
      <c r="K75" s="159">
        <f>33.6000000000001/30</f>
        <v>1.1200000000000034</v>
      </c>
      <c r="L75" s="159"/>
      <c r="M75" s="159"/>
      <c r="O75" s="134"/>
      <c r="P75" s="141" t="s">
        <v>456</v>
      </c>
      <c r="Q75" s="142"/>
      <c r="R75" s="143"/>
      <c r="S75" s="143"/>
      <c r="T75" s="143"/>
      <c r="U75" s="143"/>
      <c r="V75" s="143"/>
      <c r="W75" s="143"/>
      <c r="X75" s="143"/>
      <c r="AC75" s="143"/>
    </row>
    <row r="76" spans="1:29">
      <c r="A76" s="133" t="s">
        <v>457</v>
      </c>
      <c r="B76" s="138" t="s">
        <v>454</v>
      </c>
      <c r="C76" s="132" t="s">
        <v>458</v>
      </c>
      <c r="D76" s="139">
        <f>(11897*0.75)/30</f>
        <v>297.42500000000001</v>
      </c>
      <c r="E76" s="140">
        <f>(434.300000000001*0.75)/30</f>
        <v>10.857500000000023</v>
      </c>
      <c r="F76" s="140">
        <f>(319.6*0.75)/30</f>
        <v>7.99</v>
      </c>
      <c r="G76" s="140">
        <f>(1761.8*0.75)/30</f>
        <v>44.044999999999995</v>
      </c>
      <c r="K76" s="159">
        <f>(33.6000000000001*0.75)/30</f>
        <v>0.84000000000000241</v>
      </c>
      <c r="L76" s="159"/>
      <c r="M76" s="159"/>
      <c r="O76" s="134"/>
      <c r="P76" s="144" t="s">
        <v>77</v>
      </c>
      <c r="Q76" s="145"/>
      <c r="R76" s="146"/>
      <c r="S76" s="147"/>
      <c r="T76" s="147"/>
      <c r="U76" s="147"/>
      <c r="V76" s="147"/>
      <c r="AC76" s="106"/>
    </row>
    <row r="77" spans="1:29">
      <c r="A77" s="148"/>
      <c r="B77" s="149"/>
      <c r="C77" s="150"/>
      <c r="D77" s="151"/>
      <c r="E77" s="152"/>
      <c r="F77" s="152"/>
      <c r="G77" s="152"/>
      <c r="H77" s="153"/>
      <c r="I77" s="154"/>
      <c r="J77" s="152"/>
      <c r="K77" s="153"/>
      <c r="L77" s="154"/>
      <c r="N77" s="153"/>
      <c r="O77" s="134"/>
      <c r="P77" s="141" t="s">
        <v>174</v>
      </c>
      <c r="Q77" s="145"/>
      <c r="R77" s="146"/>
      <c r="S77" s="147"/>
      <c r="T77" s="147"/>
      <c r="U77" s="147"/>
      <c r="V77" s="147"/>
      <c r="AC77" s="147"/>
    </row>
    <row r="78" spans="1:29">
      <c r="I78" s="154"/>
      <c r="L78" s="154"/>
      <c r="M78" s="155"/>
      <c r="O78" s="134"/>
      <c r="P78" s="156"/>
      <c r="Q78" s="156"/>
      <c r="R78" s="156"/>
      <c r="S78" s="156"/>
      <c r="T78" s="156"/>
      <c r="U78" s="156"/>
      <c r="V78" s="156"/>
      <c r="AC78" s="157"/>
    </row>
    <row r="79" spans="1:29">
      <c r="C79" s="145"/>
      <c r="D79" s="145"/>
      <c r="E79" s="145"/>
      <c r="F79" s="145"/>
      <c r="G79" s="160"/>
      <c r="H79" s="160"/>
      <c r="I79" s="160"/>
      <c r="J79" s="160"/>
      <c r="K79" s="160"/>
      <c r="M79" s="155"/>
      <c r="O79" s="134"/>
      <c r="P79" s="156"/>
      <c r="Q79" s="156"/>
      <c r="R79" s="156"/>
      <c r="S79" s="156"/>
      <c r="T79" s="156"/>
      <c r="U79" s="156"/>
      <c r="V79" s="156"/>
      <c r="AC79" s="157"/>
    </row>
    <row r="80" spans="1:29">
      <c r="O80" s="134"/>
      <c r="P80" s="156"/>
      <c r="T80" s="106"/>
      <c r="AC80" s="158"/>
    </row>
    <row r="81" spans="15:29">
      <c r="O81" s="134"/>
      <c r="P81" s="156"/>
      <c r="AC81" s="154"/>
    </row>
    <row r="82" spans="15:29">
      <c r="O82" s="154"/>
    </row>
    <row r="83" spans="15:29">
      <c r="O83" s="152"/>
    </row>
    <row r="84" spans="15:29">
      <c r="O84" s="154"/>
    </row>
    <row r="85" spans="15:29">
      <c r="O85" s="154"/>
    </row>
    <row r="87" spans="15:29">
      <c r="O87" s="155"/>
    </row>
    <row r="88" spans="15:29">
      <c r="O88" s="155"/>
    </row>
  </sheetData>
  <mergeCells count="236">
    <mergeCell ref="A2:A6"/>
    <mergeCell ref="B2:B6"/>
    <mergeCell ref="C2:C6"/>
    <mergeCell ref="D2:F2"/>
    <mergeCell ref="G2:G6"/>
    <mergeCell ref="H2:J2"/>
    <mergeCell ref="K2:M2"/>
    <mergeCell ref="N2:N6"/>
    <mergeCell ref="P2:P6"/>
    <mergeCell ref="Q2:Q6"/>
    <mergeCell ref="R2:R6"/>
    <mergeCell ref="S2:U2"/>
    <mergeCell ref="M3:M6"/>
    <mergeCell ref="S3:S6"/>
    <mergeCell ref="T3:T6"/>
    <mergeCell ref="U3:U6"/>
    <mergeCell ref="V2:V6"/>
    <mergeCell ref="W2:Y2"/>
    <mergeCell ref="Z2:AB2"/>
    <mergeCell ref="AC2:AC6"/>
    <mergeCell ref="D3:D6"/>
    <mergeCell ref="E3:E6"/>
    <mergeCell ref="F3:F6"/>
    <mergeCell ref="H3:I6"/>
    <mergeCell ref="J3:J6"/>
    <mergeCell ref="K3:L6"/>
    <mergeCell ref="W3:X6"/>
    <mergeCell ref="Y3:Y6"/>
    <mergeCell ref="Z3:AA6"/>
    <mergeCell ref="AB3:AB6"/>
    <mergeCell ref="A7:A11"/>
    <mergeCell ref="B7:B11"/>
    <mergeCell ref="D7:D11"/>
    <mergeCell ref="E7:E11"/>
    <mergeCell ref="F7:F11"/>
    <mergeCell ref="G7:G11"/>
    <mergeCell ref="J7:J11"/>
    <mergeCell ref="M7:M11"/>
    <mergeCell ref="P7:P11"/>
    <mergeCell ref="Q7:Q11"/>
    <mergeCell ref="S7:S11"/>
    <mergeCell ref="T7:T11"/>
    <mergeCell ref="U7:U11"/>
    <mergeCell ref="V7:V11"/>
    <mergeCell ref="Y7:Y11"/>
    <mergeCell ref="AB7:AB11"/>
    <mergeCell ref="A12:A16"/>
    <mergeCell ref="B12:B16"/>
    <mergeCell ref="D12:D16"/>
    <mergeCell ref="E12:E16"/>
    <mergeCell ref="F12:F16"/>
    <mergeCell ref="G12:G16"/>
    <mergeCell ref="J12:J16"/>
    <mergeCell ref="M12:M16"/>
    <mergeCell ref="P12:P16"/>
    <mergeCell ref="Q12:Q16"/>
    <mergeCell ref="S12:S16"/>
    <mergeCell ref="T12:T16"/>
    <mergeCell ref="U12:U16"/>
    <mergeCell ref="V12:V16"/>
    <mergeCell ref="Y12:Y16"/>
    <mergeCell ref="AB12:AB16"/>
    <mergeCell ref="A17:N18"/>
    <mergeCell ref="P17:P21"/>
    <mergeCell ref="Q17:Q21"/>
    <mergeCell ref="S17:S21"/>
    <mergeCell ref="T17:T21"/>
    <mergeCell ref="U17:U21"/>
    <mergeCell ref="V17:V21"/>
    <mergeCell ref="Y17:Y21"/>
    <mergeCell ref="AB17:AB21"/>
    <mergeCell ref="A19:A23"/>
    <mergeCell ref="B19:B23"/>
    <mergeCell ref="D19:D23"/>
    <mergeCell ref="E19:E23"/>
    <mergeCell ref="F19:F23"/>
    <mergeCell ref="G19:G23"/>
    <mergeCell ref="J19:J23"/>
    <mergeCell ref="M19:M23"/>
    <mergeCell ref="P22:P26"/>
    <mergeCell ref="Q22:Q26"/>
    <mergeCell ref="S22:S26"/>
    <mergeCell ref="T22:T26"/>
    <mergeCell ref="U22:U26"/>
    <mergeCell ref="M24:M28"/>
    <mergeCell ref="P27:P31"/>
    <mergeCell ref="Q27:Q31"/>
    <mergeCell ref="S27:S31"/>
    <mergeCell ref="V22:V26"/>
    <mergeCell ref="Y22:Y26"/>
    <mergeCell ref="AB22:AB26"/>
    <mergeCell ref="A24:A28"/>
    <mergeCell ref="B24:B28"/>
    <mergeCell ref="D24:D28"/>
    <mergeCell ref="E24:E28"/>
    <mergeCell ref="F24:F28"/>
    <mergeCell ref="G24:G28"/>
    <mergeCell ref="J24:J28"/>
    <mergeCell ref="T27:T31"/>
    <mergeCell ref="U27:U31"/>
    <mergeCell ref="V27:V31"/>
    <mergeCell ref="Y27:Y31"/>
    <mergeCell ref="AB27:AB31"/>
    <mergeCell ref="A29:A33"/>
    <mergeCell ref="B29:B33"/>
    <mergeCell ref="D29:D33"/>
    <mergeCell ref="E29:E33"/>
    <mergeCell ref="F29:F33"/>
    <mergeCell ref="G29:G33"/>
    <mergeCell ref="J29:J33"/>
    <mergeCell ref="M29:M33"/>
    <mergeCell ref="P32:AC33"/>
    <mergeCell ref="A34:N35"/>
    <mergeCell ref="P34:P38"/>
    <mergeCell ref="Q34:Q38"/>
    <mergeCell ref="S34:S38"/>
    <mergeCell ref="T34:T38"/>
    <mergeCell ref="U34:U38"/>
    <mergeCell ref="V34:V38"/>
    <mergeCell ref="Y34:Y38"/>
    <mergeCell ref="AB34:AB38"/>
    <mergeCell ref="A36:A40"/>
    <mergeCell ref="B36:B40"/>
    <mergeCell ref="D36:D40"/>
    <mergeCell ref="E36:E40"/>
    <mergeCell ref="F36:F40"/>
    <mergeCell ref="G36:G40"/>
    <mergeCell ref="J36:J40"/>
    <mergeCell ref="M36:M40"/>
    <mergeCell ref="P39:AC40"/>
    <mergeCell ref="A41:A45"/>
    <mergeCell ref="B41:B45"/>
    <mergeCell ref="D41:D45"/>
    <mergeCell ref="E41:E45"/>
    <mergeCell ref="F41:F45"/>
    <mergeCell ref="G41:G45"/>
    <mergeCell ref="J41:J45"/>
    <mergeCell ref="M41:M45"/>
    <mergeCell ref="P41:P45"/>
    <mergeCell ref="Q41:Q45"/>
    <mergeCell ref="S41:S45"/>
    <mergeCell ref="T41:T45"/>
    <mergeCell ref="U41:U45"/>
    <mergeCell ref="V41:V45"/>
    <mergeCell ref="Y41:Y45"/>
    <mergeCell ref="AB41:AB45"/>
    <mergeCell ref="A46:A50"/>
    <mergeCell ref="B46:B50"/>
    <mergeCell ref="D46:D50"/>
    <mergeCell ref="E46:E50"/>
    <mergeCell ref="F46:F50"/>
    <mergeCell ref="G46:G50"/>
    <mergeCell ref="J46:J50"/>
    <mergeCell ref="M46:M50"/>
    <mergeCell ref="P46:P50"/>
    <mergeCell ref="Q46:Q50"/>
    <mergeCell ref="S46:S50"/>
    <mergeCell ref="T46:T50"/>
    <mergeCell ref="U46:U50"/>
    <mergeCell ref="V46:V50"/>
    <mergeCell ref="Y46:Y50"/>
    <mergeCell ref="AB46:AB50"/>
    <mergeCell ref="A51:A55"/>
    <mergeCell ref="B51:B55"/>
    <mergeCell ref="D51:D55"/>
    <mergeCell ref="E51:E55"/>
    <mergeCell ref="F51:F55"/>
    <mergeCell ref="G51:G55"/>
    <mergeCell ref="J51:J55"/>
    <mergeCell ref="M51:M55"/>
    <mergeCell ref="P51:P55"/>
    <mergeCell ref="Q51:Q55"/>
    <mergeCell ref="S51:S55"/>
    <mergeCell ref="T51:T55"/>
    <mergeCell ref="U51:U55"/>
    <mergeCell ref="V51:V55"/>
    <mergeCell ref="Y51:Y55"/>
    <mergeCell ref="AB51:AB55"/>
    <mergeCell ref="A56:A60"/>
    <mergeCell ref="B56:B60"/>
    <mergeCell ref="D56:D60"/>
    <mergeCell ref="E56:E60"/>
    <mergeCell ref="F56:F60"/>
    <mergeCell ref="G56:G60"/>
    <mergeCell ref="J56:J60"/>
    <mergeCell ref="M56:M60"/>
    <mergeCell ref="P56:P60"/>
    <mergeCell ref="Q56:Q60"/>
    <mergeCell ref="S56:S60"/>
    <mergeCell ref="T56:T60"/>
    <mergeCell ref="U56:U60"/>
    <mergeCell ref="V56:V60"/>
    <mergeCell ref="Y56:Y60"/>
    <mergeCell ref="AB56:AB60"/>
    <mergeCell ref="A61:A65"/>
    <mergeCell ref="B61:B65"/>
    <mergeCell ref="D61:D65"/>
    <mergeCell ref="E61:E65"/>
    <mergeCell ref="F61:F65"/>
    <mergeCell ref="G61:G65"/>
    <mergeCell ref="J61:J65"/>
    <mergeCell ref="M61:M65"/>
    <mergeCell ref="P61:AC62"/>
    <mergeCell ref="P63:P67"/>
    <mergeCell ref="Q63:Q67"/>
    <mergeCell ref="S63:S67"/>
    <mergeCell ref="T63:T67"/>
    <mergeCell ref="U63:U67"/>
    <mergeCell ref="V63:V67"/>
    <mergeCell ref="Y63:Y67"/>
    <mergeCell ref="AB63:AB67"/>
    <mergeCell ref="A66:N67"/>
    <mergeCell ref="A68:A72"/>
    <mergeCell ref="B68:B72"/>
    <mergeCell ref="D68:D72"/>
    <mergeCell ref="E68:E72"/>
    <mergeCell ref="F68:F72"/>
    <mergeCell ref="G68:G72"/>
    <mergeCell ref="J68:J72"/>
    <mergeCell ref="M68:M72"/>
    <mergeCell ref="A73:B74"/>
    <mergeCell ref="D73:M73"/>
    <mergeCell ref="P73:AA73"/>
    <mergeCell ref="K74:M74"/>
    <mergeCell ref="P68:P72"/>
    <mergeCell ref="Q68:Q72"/>
    <mergeCell ref="S68:S72"/>
    <mergeCell ref="T68:T72"/>
    <mergeCell ref="U68:U72"/>
    <mergeCell ref="V68:V72"/>
    <mergeCell ref="K75:M75"/>
    <mergeCell ref="K76:M76"/>
    <mergeCell ref="G79:I79"/>
    <mergeCell ref="J79:K79"/>
    <mergeCell ref="Y68:Y72"/>
    <mergeCell ref="AB68:AB72"/>
  </mergeCells>
  <phoneticPr fontId="2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D5" s="3"/>
      <c r="E5" s="6"/>
      <c r="F5" s="2"/>
      <c r="G5" s="2"/>
      <c r="H5" s="2"/>
      <c r="I5" s="3"/>
      <c r="J5" s="2"/>
      <c r="K5" s="7"/>
      <c r="L5" s="7"/>
      <c r="M5" s="7"/>
      <c r="N5" s="9"/>
      <c r="O5" s="2"/>
      <c r="P5" s="14"/>
      <c r="Q5" s="45" t="s">
        <v>6</v>
      </c>
      <c r="R5" s="46"/>
      <c r="S5" s="47"/>
      <c r="T5" s="47"/>
      <c r="U5" s="3"/>
    </row>
    <row r="6" spans="1:21" ht="22.5" customHeight="1">
      <c r="A6" s="5"/>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218</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219</v>
      </c>
      <c r="C10" s="48" t="s">
        <v>135</v>
      </c>
      <c r="D10" s="49"/>
      <c r="E10" s="54">
        <v>10</v>
      </c>
      <c r="F10" s="51" t="s">
        <v>39</v>
      </c>
      <c r="G10" s="86"/>
      <c r="H10" s="90" t="s">
        <v>135</v>
      </c>
      <c r="I10" s="49"/>
      <c r="J10" s="51">
        <f>ROUNDUP(E10*0.75,2)</f>
        <v>7.5</v>
      </c>
      <c r="K10" s="51" t="s">
        <v>39</v>
      </c>
      <c r="L10" s="51"/>
      <c r="M10" s="51">
        <f>ROUNDUP((R5*E10)+(R6*J10)+(R7*(E10*2)),2)</f>
        <v>0</v>
      </c>
      <c r="N10" s="94">
        <f>M10</f>
        <v>0</v>
      </c>
      <c r="O10" s="82" t="s">
        <v>220</v>
      </c>
      <c r="P10" s="52" t="s">
        <v>25</v>
      </c>
      <c r="Q10" s="49"/>
      <c r="R10" s="53">
        <v>110</v>
      </c>
      <c r="S10" s="54">
        <f>ROUNDUP(R10*0.75,2)</f>
        <v>82.5</v>
      </c>
      <c r="T10" s="78">
        <f>ROUNDUP((R5*R10)+(R6*S10)+(R7*(R10*2)),2)</f>
        <v>0</v>
      </c>
    </row>
    <row r="11" spans="1:21" ht="18.75" customHeight="1">
      <c r="A11" s="231"/>
      <c r="B11" s="84"/>
      <c r="C11" s="61" t="s">
        <v>124</v>
      </c>
      <c r="D11" s="62"/>
      <c r="E11" s="63">
        <v>10</v>
      </c>
      <c r="F11" s="64" t="s">
        <v>39</v>
      </c>
      <c r="G11" s="88"/>
      <c r="H11" s="92" t="s">
        <v>124</v>
      </c>
      <c r="I11" s="62"/>
      <c r="J11" s="64">
        <f>ROUNDUP(E11*0.75,2)</f>
        <v>7.5</v>
      </c>
      <c r="K11" s="64" t="s">
        <v>39</v>
      </c>
      <c r="L11" s="64"/>
      <c r="M11" s="64">
        <f>ROUNDUP((R5*E11)+(R6*J11)+(R7*(E11*2)),2)</f>
        <v>0</v>
      </c>
      <c r="N11" s="96">
        <f>ROUND(M11+(M11*2/100),2)</f>
        <v>0</v>
      </c>
      <c r="O11" s="84" t="s">
        <v>221</v>
      </c>
      <c r="P11" s="65" t="s">
        <v>57</v>
      </c>
      <c r="Q11" s="62"/>
      <c r="R11" s="66">
        <v>2</v>
      </c>
      <c r="S11" s="63">
        <f>ROUNDUP(R11*0.75,2)</f>
        <v>1.5</v>
      </c>
      <c r="T11" s="80">
        <f>ROUNDUP((R5*R11)+(R6*S11)+(R7*(R11*2)),2)</f>
        <v>0</v>
      </c>
    </row>
    <row r="12" spans="1:21" ht="18.75" customHeight="1">
      <c r="A12" s="231"/>
      <c r="B12" s="84"/>
      <c r="C12" s="61" t="s">
        <v>179</v>
      </c>
      <c r="D12" s="62"/>
      <c r="E12" s="63">
        <v>5</v>
      </c>
      <c r="F12" s="64" t="s">
        <v>39</v>
      </c>
      <c r="G12" s="88"/>
      <c r="H12" s="92" t="s">
        <v>179</v>
      </c>
      <c r="I12" s="62"/>
      <c r="J12" s="64">
        <f>ROUNDUP(E12*0.75,2)</f>
        <v>3.75</v>
      </c>
      <c r="K12" s="64" t="s">
        <v>39</v>
      </c>
      <c r="L12" s="64"/>
      <c r="M12" s="64">
        <f>ROUNDUP((R5*E12)+(R6*J12)+(R7*(E12*2)),2)</f>
        <v>0</v>
      </c>
      <c r="N12" s="96">
        <f>M12</f>
        <v>0</v>
      </c>
      <c r="O12" s="84" t="s">
        <v>222</v>
      </c>
      <c r="P12" s="65" t="s">
        <v>36</v>
      </c>
      <c r="Q12" s="62"/>
      <c r="R12" s="66">
        <v>0.1</v>
      </c>
      <c r="S12" s="63">
        <f>ROUNDUP(R12*0.75,2)</f>
        <v>0.08</v>
      </c>
      <c r="T12" s="80">
        <f>ROUNDUP((R5*R12)+(R6*S12)+(R7*(R12*2)),2)</f>
        <v>0</v>
      </c>
    </row>
    <row r="13" spans="1:21" ht="18.75" customHeight="1">
      <c r="A13" s="231"/>
      <c r="B13" s="84"/>
      <c r="C13" s="61"/>
      <c r="D13" s="62"/>
      <c r="E13" s="63"/>
      <c r="F13" s="64"/>
      <c r="G13" s="88"/>
      <c r="H13" s="92"/>
      <c r="I13" s="62"/>
      <c r="J13" s="64"/>
      <c r="K13" s="64"/>
      <c r="L13" s="64"/>
      <c r="M13" s="64"/>
      <c r="N13" s="96"/>
      <c r="O13" s="84" t="s">
        <v>223</v>
      </c>
      <c r="P13" s="65" t="s">
        <v>75</v>
      </c>
      <c r="Q13" s="62"/>
      <c r="R13" s="66">
        <v>4</v>
      </c>
      <c r="S13" s="63">
        <f>ROUNDUP(R13*0.75,2)</f>
        <v>3</v>
      </c>
      <c r="T13" s="80">
        <f>ROUNDUP((R5*R13)+(R6*S13)+(R7*(R13*2)),2)</f>
        <v>0</v>
      </c>
    </row>
    <row r="14" spans="1:21" ht="18.75" customHeight="1">
      <c r="A14" s="231"/>
      <c r="B14" s="84"/>
      <c r="C14" s="61"/>
      <c r="D14" s="62"/>
      <c r="E14" s="63"/>
      <c r="F14" s="64"/>
      <c r="G14" s="88"/>
      <c r="H14" s="92"/>
      <c r="I14" s="62"/>
      <c r="J14" s="64"/>
      <c r="K14" s="64"/>
      <c r="L14" s="64"/>
      <c r="M14" s="64"/>
      <c r="N14" s="96"/>
      <c r="O14" s="84" t="s">
        <v>224</v>
      </c>
      <c r="P14" s="65"/>
      <c r="Q14" s="62"/>
      <c r="R14" s="66"/>
      <c r="S14" s="63"/>
      <c r="T14" s="80"/>
    </row>
    <row r="15" spans="1:21" ht="18.75" customHeight="1">
      <c r="A15" s="231"/>
      <c r="B15" s="84"/>
      <c r="C15" s="61"/>
      <c r="D15" s="62"/>
      <c r="E15" s="63"/>
      <c r="F15" s="64"/>
      <c r="G15" s="88"/>
      <c r="H15" s="92"/>
      <c r="I15" s="62"/>
      <c r="J15" s="64"/>
      <c r="K15" s="64"/>
      <c r="L15" s="64"/>
      <c r="M15" s="64"/>
      <c r="N15" s="96"/>
      <c r="O15" s="84" t="s">
        <v>32</v>
      </c>
      <c r="P15" s="65"/>
      <c r="Q15" s="62"/>
      <c r="R15" s="66"/>
      <c r="S15" s="63"/>
      <c r="T15" s="80"/>
    </row>
    <row r="16" spans="1:21" ht="18.75" customHeight="1">
      <c r="A16" s="231"/>
      <c r="B16" s="83"/>
      <c r="C16" s="55"/>
      <c r="D16" s="56"/>
      <c r="E16" s="57"/>
      <c r="F16" s="58"/>
      <c r="G16" s="87"/>
      <c r="H16" s="91"/>
      <c r="I16" s="56"/>
      <c r="J16" s="58"/>
      <c r="K16" s="58"/>
      <c r="L16" s="58"/>
      <c r="M16" s="58"/>
      <c r="N16" s="95"/>
      <c r="O16" s="83"/>
      <c r="P16" s="59"/>
      <c r="Q16" s="56"/>
      <c r="R16" s="60"/>
      <c r="S16" s="57"/>
      <c r="T16" s="79"/>
    </row>
    <row r="17" spans="1:20" ht="18.75" customHeight="1">
      <c r="A17" s="231"/>
      <c r="B17" s="84" t="s">
        <v>225</v>
      </c>
      <c r="C17" s="61" t="s">
        <v>38</v>
      </c>
      <c r="D17" s="62"/>
      <c r="E17" s="63">
        <v>10</v>
      </c>
      <c r="F17" s="64" t="s">
        <v>39</v>
      </c>
      <c r="G17" s="88"/>
      <c r="H17" s="92" t="s">
        <v>38</v>
      </c>
      <c r="I17" s="62"/>
      <c r="J17" s="64">
        <f t="shared" ref="J17:J23" si="0">ROUNDUP(E17*0.75,2)</f>
        <v>7.5</v>
      </c>
      <c r="K17" s="64" t="s">
        <v>39</v>
      </c>
      <c r="L17" s="64"/>
      <c r="M17" s="64">
        <f>ROUNDUP((R5*E17)+(R6*J17)+(R7*(E17*2)),2)</f>
        <v>0</v>
      </c>
      <c r="N17" s="96">
        <f>ROUND(M17+(M17*6/100),2)</f>
        <v>0</v>
      </c>
      <c r="O17" s="84" t="s">
        <v>226</v>
      </c>
      <c r="P17" s="65" t="s">
        <v>37</v>
      </c>
      <c r="Q17" s="62"/>
      <c r="R17" s="66">
        <v>1</v>
      </c>
      <c r="S17" s="63">
        <f t="shared" ref="S17:S26" si="1">ROUNDUP(R17*0.75,2)</f>
        <v>0.75</v>
      </c>
      <c r="T17" s="80">
        <f>ROUNDUP((R5*R17)+(R6*S17)+(R7*(R17*2)),2)</f>
        <v>0</v>
      </c>
    </row>
    <row r="18" spans="1:20" ht="18.75" customHeight="1">
      <c r="A18" s="231"/>
      <c r="B18" s="84"/>
      <c r="C18" s="61" t="s">
        <v>144</v>
      </c>
      <c r="D18" s="62"/>
      <c r="E18" s="63">
        <v>30</v>
      </c>
      <c r="F18" s="64" t="s">
        <v>39</v>
      </c>
      <c r="G18" s="88"/>
      <c r="H18" s="92" t="s">
        <v>144</v>
      </c>
      <c r="I18" s="62"/>
      <c r="J18" s="64">
        <f t="shared" si="0"/>
        <v>22.5</v>
      </c>
      <c r="K18" s="64" t="s">
        <v>39</v>
      </c>
      <c r="L18" s="64"/>
      <c r="M18" s="64">
        <f>ROUNDUP((R5*E18)+(R6*J18)+(R7*(E18*2)),2)</f>
        <v>0</v>
      </c>
      <c r="N18" s="96">
        <f>M18</f>
        <v>0</v>
      </c>
      <c r="O18" s="100" t="s">
        <v>280</v>
      </c>
      <c r="P18" s="65" t="s">
        <v>47</v>
      </c>
      <c r="Q18" s="62" t="s">
        <v>27</v>
      </c>
      <c r="R18" s="66">
        <v>5</v>
      </c>
      <c r="S18" s="63">
        <f t="shared" si="1"/>
        <v>3.75</v>
      </c>
      <c r="T18" s="80">
        <f>ROUNDUP((R5*R18)+(R6*S18)+(R7*(R18*2)),2)</f>
        <v>0</v>
      </c>
    </row>
    <row r="19" spans="1:20" ht="18.75" customHeight="1">
      <c r="A19" s="231"/>
      <c r="B19" s="84"/>
      <c r="C19" s="61" t="s">
        <v>228</v>
      </c>
      <c r="D19" s="62"/>
      <c r="E19" s="67">
        <v>0.1</v>
      </c>
      <c r="F19" s="64" t="s">
        <v>86</v>
      </c>
      <c r="G19" s="88"/>
      <c r="H19" s="92" t="s">
        <v>228</v>
      </c>
      <c r="I19" s="62"/>
      <c r="J19" s="64">
        <f t="shared" si="0"/>
        <v>0.08</v>
      </c>
      <c r="K19" s="64" t="s">
        <v>86</v>
      </c>
      <c r="L19" s="64"/>
      <c r="M19" s="64">
        <f>ROUNDUP((R5*E19)+(R6*J19)+(R7*(E19*2)),2)</f>
        <v>0</v>
      </c>
      <c r="N19" s="96">
        <f>M19</f>
        <v>0</v>
      </c>
      <c r="O19" s="36" t="s">
        <v>281</v>
      </c>
      <c r="P19" s="65" t="s">
        <v>63</v>
      </c>
      <c r="Q19" s="62"/>
      <c r="R19" s="66">
        <v>1</v>
      </c>
      <c r="S19" s="63">
        <f t="shared" si="1"/>
        <v>0.75</v>
      </c>
      <c r="T19" s="80">
        <f>ROUNDUP((R5*R19)+(R6*S19)+(R7*(R19*2)),2)</f>
        <v>0</v>
      </c>
    </row>
    <row r="20" spans="1:20" ht="18.75" customHeight="1">
      <c r="A20" s="231"/>
      <c r="B20" s="84"/>
      <c r="C20" s="61" t="s">
        <v>54</v>
      </c>
      <c r="D20" s="62"/>
      <c r="E20" s="63">
        <v>10</v>
      </c>
      <c r="F20" s="64" t="s">
        <v>39</v>
      </c>
      <c r="G20" s="88"/>
      <c r="H20" s="92" t="s">
        <v>54</v>
      </c>
      <c r="I20" s="62"/>
      <c r="J20" s="64">
        <f t="shared" si="0"/>
        <v>7.5</v>
      </c>
      <c r="K20" s="64" t="s">
        <v>39</v>
      </c>
      <c r="L20" s="64"/>
      <c r="M20" s="64">
        <f>ROUNDUP((R5*E20)+(R6*J20)+(R7*(E20*2)),2)</f>
        <v>0</v>
      </c>
      <c r="N20" s="96">
        <f>ROUND(M20+(M20*10/100),2)</f>
        <v>0</v>
      </c>
      <c r="O20" s="100" t="s">
        <v>278</v>
      </c>
      <c r="P20" s="65" t="s">
        <v>91</v>
      </c>
      <c r="Q20" s="62"/>
      <c r="R20" s="66">
        <v>1.5</v>
      </c>
      <c r="S20" s="63">
        <f t="shared" si="1"/>
        <v>1.1300000000000001</v>
      </c>
      <c r="T20" s="80">
        <f>ROUNDUP((R5*R20)+(R6*S20)+(R7*(R20*2)),2)</f>
        <v>0</v>
      </c>
    </row>
    <row r="21" spans="1:20" ht="18.75" customHeight="1">
      <c r="A21" s="231"/>
      <c r="B21" s="84"/>
      <c r="C21" s="61" t="s">
        <v>89</v>
      </c>
      <c r="D21" s="62"/>
      <c r="E21" s="63">
        <v>5</v>
      </c>
      <c r="F21" s="64" t="s">
        <v>39</v>
      </c>
      <c r="G21" s="88"/>
      <c r="H21" s="92" t="s">
        <v>89</v>
      </c>
      <c r="I21" s="62"/>
      <c r="J21" s="64">
        <f t="shared" si="0"/>
        <v>3.75</v>
      </c>
      <c r="K21" s="64" t="s">
        <v>39</v>
      </c>
      <c r="L21" s="64"/>
      <c r="M21" s="64">
        <f>ROUNDUP((R5*E21)+(R6*J21)+(R7*(E21*2)),2)</f>
        <v>0</v>
      </c>
      <c r="N21" s="96">
        <f>M21</f>
        <v>0</v>
      </c>
      <c r="O21" s="36" t="s">
        <v>279</v>
      </c>
      <c r="P21" s="65" t="s">
        <v>37</v>
      </c>
      <c r="Q21" s="62"/>
      <c r="R21" s="66">
        <v>2</v>
      </c>
      <c r="S21" s="63">
        <f t="shared" si="1"/>
        <v>1.5</v>
      </c>
      <c r="T21" s="80">
        <f>ROUNDUP((R5*R21)+(R6*S21)+(R7*(R21*2)),2)</f>
        <v>0</v>
      </c>
    </row>
    <row r="22" spans="1:20" ht="18.75" customHeight="1">
      <c r="A22" s="231"/>
      <c r="B22" s="84"/>
      <c r="C22" s="61" t="s">
        <v>122</v>
      </c>
      <c r="D22" s="62"/>
      <c r="E22" s="63">
        <v>20</v>
      </c>
      <c r="F22" s="64" t="s">
        <v>39</v>
      </c>
      <c r="G22" s="88"/>
      <c r="H22" s="92" t="s">
        <v>122</v>
      </c>
      <c r="I22" s="62"/>
      <c r="J22" s="64">
        <f t="shared" si="0"/>
        <v>15</v>
      </c>
      <c r="K22" s="64" t="s">
        <v>39</v>
      </c>
      <c r="L22" s="64"/>
      <c r="M22" s="64">
        <f>ROUNDUP((R5*E22)+(R6*J22)+(R7*(E22*2)),2)</f>
        <v>0</v>
      </c>
      <c r="N22" s="96">
        <f>ROUND(M22+(M22*15/100),2)</f>
        <v>0</v>
      </c>
      <c r="O22" s="100" t="s">
        <v>276</v>
      </c>
      <c r="P22" s="65" t="s">
        <v>74</v>
      </c>
      <c r="Q22" s="62"/>
      <c r="R22" s="66">
        <v>10</v>
      </c>
      <c r="S22" s="63">
        <f t="shared" si="1"/>
        <v>7.5</v>
      </c>
      <c r="T22" s="80">
        <f>ROUNDUP((R5*R22)+(R6*S22)+(R7*(R22*2)),2)</f>
        <v>0</v>
      </c>
    </row>
    <row r="23" spans="1:20" ht="18.75" customHeight="1">
      <c r="A23" s="231"/>
      <c r="B23" s="84"/>
      <c r="C23" s="61" t="s">
        <v>173</v>
      </c>
      <c r="D23" s="62"/>
      <c r="E23" s="63">
        <v>10</v>
      </c>
      <c r="F23" s="64" t="s">
        <v>39</v>
      </c>
      <c r="G23" s="88"/>
      <c r="H23" s="92" t="s">
        <v>173</v>
      </c>
      <c r="I23" s="62"/>
      <c r="J23" s="64">
        <f t="shared" si="0"/>
        <v>7.5</v>
      </c>
      <c r="K23" s="64" t="s">
        <v>39</v>
      </c>
      <c r="L23" s="64"/>
      <c r="M23" s="64">
        <f>ROUNDUP((R5*E23)+(R6*J23)+(R7*(E23*2)),2)</f>
        <v>0</v>
      </c>
      <c r="N23" s="96">
        <f>ROUND(M23+(M23*3/100),2)</f>
        <v>0</v>
      </c>
      <c r="O23" s="36" t="s">
        <v>277</v>
      </c>
      <c r="P23" s="65" t="s">
        <v>42</v>
      </c>
      <c r="Q23" s="62" t="s">
        <v>43</v>
      </c>
      <c r="R23" s="66">
        <v>1</v>
      </c>
      <c r="S23" s="63">
        <f t="shared" si="1"/>
        <v>0.75</v>
      </c>
      <c r="T23" s="80">
        <f>ROUNDUP((R5*R23)+(R6*S23)+(R7*(R23*2)),2)</f>
        <v>0</v>
      </c>
    </row>
    <row r="24" spans="1:20" ht="18.75" customHeight="1">
      <c r="A24" s="231"/>
      <c r="B24" s="84"/>
      <c r="C24" s="61"/>
      <c r="D24" s="62"/>
      <c r="E24" s="63"/>
      <c r="F24" s="64"/>
      <c r="G24" s="88"/>
      <c r="H24" s="92"/>
      <c r="I24" s="62"/>
      <c r="J24" s="64"/>
      <c r="K24" s="64"/>
      <c r="L24" s="64"/>
      <c r="M24" s="64"/>
      <c r="N24" s="96"/>
      <c r="O24" s="84" t="s">
        <v>84</v>
      </c>
      <c r="P24" s="65" t="s">
        <v>57</v>
      </c>
      <c r="Q24" s="62"/>
      <c r="R24" s="66">
        <v>1</v>
      </c>
      <c r="S24" s="63">
        <f t="shared" si="1"/>
        <v>0.75</v>
      </c>
      <c r="T24" s="80">
        <f>ROUNDUP((R5*R24)+(R6*S24)+(R7*(R24*2)),2)</f>
        <v>0</v>
      </c>
    </row>
    <row r="25" spans="1:20" ht="18.75" customHeight="1">
      <c r="A25" s="231"/>
      <c r="B25" s="84"/>
      <c r="C25" s="61"/>
      <c r="D25" s="62"/>
      <c r="E25" s="63"/>
      <c r="F25" s="64"/>
      <c r="G25" s="88"/>
      <c r="H25" s="92"/>
      <c r="I25" s="62"/>
      <c r="J25" s="64"/>
      <c r="K25" s="64"/>
      <c r="L25" s="64"/>
      <c r="M25" s="64"/>
      <c r="N25" s="96"/>
      <c r="O25" s="84" t="s">
        <v>227</v>
      </c>
      <c r="P25" s="65" t="s">
        <v>36</v>
      </c>
      <c r="Q25" s="62"/>
      <c r="R25" s="66">
        <v>0.05</v>
      </c>
      <c r="S25" s="63">
        <f t="shared" si="1"/>
        <v>0.04</v>
      </c>
      <c r="T25" s="80">
        <f>ROUNDUP((R5*R25)+(R6*S25)+(R7*(R25*2)),2)</f>
        <v>0</v>
      </c>
    </row>
    <row r="26" spans="1:20" ht="18.75" customHeight="1">
      <c r="A26" s="231"/>
      <c r="B26" s="84"/>
      <c r="C26" s="61"/>
      <c r="D26" s="62"/>
      <c r="E26" s="63"/>
      <c r="F26" s="64"/>
      <c r="G26" s="88"/>
      <c r="H26" s="92"/>
      <c r="I26" s="62"/>
      <c r="J26" s="64"/>
      <c r="K26" s="64"/>
      <c r="L26" s="64"/>
      <c r="M26" s="64"/>
      <c r="N26" s="96"/>
      <c r="O26" s="84" t="s">
        <v>32</v>
      </c>
      <c r="P26" s="65" t="s">
        <v>72</v>
      </c>
      <c r="Q26" s="62"/>
      <c r="R26" s="66">
        <v>3</v>
      </c>
      <c r="S26" s="63">
        <f t="shared" si="1"/>
        <v>2.25</v>
      </c>
      <c r="T26" s="80">
        <f>ROUNDUP((R5*R26)+(R6*S26)+(R7*(R26*2)),2)</f>
        <v>0</v>
      </c>
    </row>
    <row r="27" spans="1:20" ht="18.75" customHeight="1">
      <c r="A27" s="231"/>
      <c r="B27" s="83"/>
      <c r="C27" s="55"/>
      <c r="D27" s="56"/>
      <c r="E27" s="57"/>
      <c r="F27" s="58"/>
      <c r="G27" s="87"/>
      <c r="H27" s="91"/>
      <c r="I27" s="56"/>
      <c r="J27" s="58"/>
      <c r="K27" s="58"/>
      <c r="L27" s="58"/>
      <c r="M27" s="58"/>
      <c r="N27" s="95"/>
      <c r="O27" s="83"/>
      <c r="P27" s="59"/>
      <c r="Q27" s="56"/>
      <c r="R27" s="60"/>
      <c r="S27" s="57"/>
      <c r="T27" s="79"/>
    </row>
    <row r="28" spans="1:20" ht="18.75" customHeight="1">
      <c r="A28" s="231"/>
      <c r="B28" s="84" t="s">
        <v>98</v>
      </c>
      <c r="C28" s="61" t="s">
        <v>136</v>
      </c>
      <c r="D28" s="62"/>
      <c r="E28" s="63">
        <v>20</v>
      </c>
      <c r="F28" s="64" t="s">
        <v>39</v>
      </c>
      <c r="G28" s="88"/>
      <c r="H28" s="92" t="s">
        <v>136</v>
      </c>
      <c r="I28" s="62"/>
      <c r="J28" s="64">
        <f>ROUNDUP(E28*0.75,2)</f>
        <v>15</v>
      </c>
      <c r="K28" s="64" t="s">
        <v>39</v>
      </c>
      <c r="L28" s="64"/>
      <c r="M28" s="64">
        <f>ROUNDUP((R5*E28)+(R6*J28)+(R7*(E28*2)),2)</f>
        <v>0</v>
      </c>
      <c r="N28" s="96">
        <f>ROUND(M28+(M28*15/100),2)</f>
        <v>0</v>
      </c>
      <c r="O28" s="84" t="s">
        <v>32</v>
      </c>
      <c r="P28" s="65" t="s">
        <v>62</v>
      </c>
      <c r="Q28" s="62"/>
      <c r="R28" s="66">
        <v>100</v>
      </c>
      <c r="S28" s="63">
        <f>ROUNDUP(R28*0.75,2)</f>
        <v>75</v>
      </c>
      <c r="T28" s="80">
        <f>ROUNDUP((R5*R28)+(R6*S28)+(R7*(R28*2)),2)</f>
        <v>0</v>
      </c>
    </row>
    <row r="29" spans="1:20" ht="18.75" customHeight="1">
      <c r="A29" s="231"/>
      <c r="B29" s="84"/>
      <c r="C29" s="61" t="s">
        <v>70</v>
      </c>
      <c r="D29" s="62" t="s">
        <v>71</v>
      </c>
      <c r="E29" s="75">
        <v>0.125</v>
      </c>
      <c r="F29" s="64" t="s">
        <v>67</v>
      </c>
      <c r="G29" s="88"/>
      <c r="H29" s="92" t="s">
        <v>70</v>
      </c>
      <c r="I29" s="62" t="s">
        <v>71</v>
      </c>
      <c r="J29" s="64">
        <f>ROUNDUP(E29*0.75,2)</f>
        <v>9.9999999999999992E-2</v>
      </c>
      <c r="K29" s="64" t="s">
        <v>67</v>
      </c>
      <c r="L29" s="64"/>
      <c r="M29" s="64">
        <f>ROUNDUP((R5*E29)+(R6*J29)+(R7*(E29*2)),2)</f>
        <v>0</v>
      </c>
      <c r="N29" s="96">
        <f>M29</f>
        <v>0</v>
      </c>
      <c r="O29" s="84"/>
      <c r="P29" s="65" t="s">
        <v>36</v>
      </c>
      <c r="Q29" s="62"/>
      <c r="R29" s="66">
        <v>0.2</v>
      </c>
      <c r="S29" s="63">
        <f>ROUNDUP(R29*0.75,2)</f>
        <v>0.15</v>
      </c>
      <c r="T29" s="80">
        <f>ROUNDUP((R5*R29)+(R6*S29)+(R7*(R29*2)),2)</f>
        <v>0</v>
      </c>
    </row>
    <row r="30" spans="1:20" ht="18.75" customHeight="1">
      <c r="A30" s="231"/>
      <c r="B30" s="84"/>
      <c r="C30" s="61"/>
      <c r="D30" s="62"/>
      <c r="E30" s="63"/>
      <c r="F30" s="64"/>
      <c r="G30" s="88"/>
      <c r="H30" s="92"/>
      <c r="I30" s="62"/>
      <c r="J30" s="64"/>
      <c r="K30" s="64"/>
      <c r="L30" s="64"/>
      <c r="M30" s="64"/>
      <c r="N30" s="96"/>
      <c r="O30" s="84"/>
      <c r="P30" s="65" t="s">
        <v>58</v>
      </c>
      <c r="Q30" s="62" t="s">
        <v>27</v>
      </c>
      <c r="R30" s="66">
        <v>1.5</v>
      </c>
      <c r="S30" s="63">
        <f>ROUNDUP(R30*0.75,2)</f>
        <v>1.1300000000000001</v>
      </c>
      <c r="T30" s="80">
        <f>ROUNDUP((R5*R30)+(R6*S30)+(R7*(R30*2)),2)</f>
        <v>0</v>
      </c>
    </row>
    <row r="31" spans="1:20" ht="18.75" customHeight="1">
      <c r="A31" s="231"/>
      <c r="B31" s="83"/>
      <c r="C31" s="55"/>
      <c r="D31" s="56"/>
      <c r="E31" s="57"/>
      <c r="F31" s="58"/>
      <c r="G31" s="87"/>
      <c r="H31" s="91"/>
      <c r="I31" s="56"/>
      <c r="J31" s="58"/>
      <c r="K31" s="58"/>
      <c r="L31" s="58"/>
      <c r="M31" s="58"/>
      <c r="N31" s="95"/>
      <c r="O31" s="83"/>
      <c r="P31" s="59"/>
      <c r="Q31" s="56"/>
      <c r="R31" s="60"/>
      <c r="S31" s="57"/>
      <c r="T31" s="79"/>
    </row>
    <row r="32" spans="1:20" ht="18.75" customHeight="1">
      <c r="A32" s="231"/>
      <c r="B32" s="84" t="s">
        <v>128</v>
      </c>
      <c r="C32" s="61" t="s">
        <v>129</v>
      </c>
      <c r="D32" s="62"/>
      <c r="E32" s="98">
        <v>0.25</v>
      </c>
      <c r="F32" s="64" t="s">
        <v>130</v>
      </c>
      <c r="G32" s="88"/>
      <c r="H32" s="92" t="s">
        <v>129</v>
      </c>
      <c r="I32" s="62"/>
      <c r="J32" s="64">
        <f>ROUNDUP(E32*0.75,2)</f>
        <v>0.19</v>
      </c>
      <c r="K32" s="64" t="s">
        <v>130</v>
      </c>
      <c r="L32" s="64"/>
      <c r="M32" s="64">
        <f>ROUNDUP((R5*E32)+(R6*J32)+(R7*(E32*2)),2)</f>
        <v>0</v>
      </c>
      <c r="N32" s="96">
        <f>M32</f>
        <v>0</v>
      </c>
      <c r="O32" s="84" t="s">
        <v>65</v>
      </c>
      <c r="P32" s="65"/>
      <c r="Q32" s="62"/>
      <c r="R32" s="66"/>
      <c r="S32" s="63"/>
      <c r="T32" s="80"/>
    </row>
    <row r="33" spans="1:20" ht="18.75" customHeight="1" thickBot="1">
      <c r="A33" s="232"/>
      <c r="B33" s="85"/>
      <c r="C33" s="69"/>
      <c r="D33" s="70"/>
      <c r="E33" s="71"/>
      <c r="F33" s="72"/>
      <c r="G33" s="89"/>
      <c r="H33" s="93"/>
      <c r="I33" s="70"/>
      <c r="J33" s="72"/>
      <c r="K33" s="72"/>
      <c r="L33" s="72"/>
      <c r="M33" s="72"/>
      <c r="N33" s="97"/>
      <c r="O33" s="85"/>
      <c r="P33" s="73"/>
      <c r="Q33" s="70"/>
      <c r="R33" s="74"/>
      <c r="S33" s="71"/>
      <c r="T33" s="81"/>
    </row>
    <row r="34" spans="1:20" ht="18.75" customHeight="1">
      <c r="P34" s="233" t="s">
        <v>283</v>
      </c>
      <c r="Q34" s="233"/>
      <c r="R34" s="233"/>
      <c r="S34" s="233"/>
    </row>
  </sheetData>
  <mergeCells count="6">
    <mergeCell ref="P34:S34"/>
    <mergeCell ref="H1:O1"/>
    <mergeCell ref="A2:T2"/>
    <mergeCell ref="Q3:T3"/>
    <mergeCell ref="A8:F8"/>
    <mergeCell ref="A10:A33"/>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230</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24</v>
      </c>
      <c r="C10" s="48" t="s">
        <v>26</v>
      </c>
      <c r="D10" s="49" t="s">
        <v>28</v>
      </c>
      <c r="E10" s="50">
        <v>0.5</v>
      </c>
      <c r="F10" s="51" t="s">
        <v>29</v>
      </c>
      <c r="G10" s="86"/>
      <c r="H10" s="90" t="s">
        <v>26</v>
      </c>
      <c r="I10" s="49" t="s">
        <v>28</v>
      </c>
      <c r="J10" s="51">
        <f>ROUNDUP(E10*0.75,2)</f>
        <v>0.38</v>
      </c>
      <c r="K10" s="51" t="s">
        <v>29</v>
      </c>
      <c r="L10" s="51"/>
      <c r="M10" s="51">
        <f>ROUNDUP((R5*E10)+(R6*J10)+(R7*(E10*2)),2)</f>
        <v>0</v>
      </c>
      <c r="N10" s="94">
        <f>M10</f>
        <v>0</v>
      </c>
      <c r="O10" s="82"/>
      <c r="P10" s="52" t="s">
        <v>25</v>
      </c>
      <c r="Q10" s="49"/>
      <c r="R10" s="53">
        <v>110</v>
      </c>
      <c r="S10" s="54">
        <f>ROUNDUP(R10*0.75,2)</f>
        <v>82.5</v>
      </c>
      <c r="T10" s="78">
        <f>ROUNDUP((R5*R10)+(R6*S10)+(R7*(R10*2)),2)</f>
        <v>0</v>
      </c>
    </row>
    <row r="11" spans="1:21" ht="18.75" customHeight="1">
      <c r="A11" s="231"/>
      <c r="B11" s="83"/>
      <c r="C11" s="55"/>
      <c r="D11" s="56"/>
      <c r="E11" s="57"/>
      <c r="F11" s="58"/>
      <c r="G11" s="87"/>
      <c r="H11" s="91"/>
      <c r="I11" s="56"/>
      <c r="J11" s="58"/>
      <c r="K11" s="58"/>
      <c r="L11" s="58"/>
      <c r="M11" s="58"/>
      <c r="N11" s="95"/>
      <c r="O11" s="83"/>
      <c r="P11" s="59"/>
      <c r="Q11" s="56"/>
      <c r="R11" s="60"/>
      <c r="S11" s="57"/>
      <c r="T11" s="79"/>
    </row>
    <row r="12" spans="1:21" ht="18.75" customHeight="1">
      <c r="A12" s="231"/>
      <c r="B12" s="84" t="s">
        <v>254</v>
      </c>
      <c r="C12" s="61" t="s">
        <v>33</v>
      </c>
      <c r="D12" s="62"/>
      <c r="E12" s="63">
        <v>1</v>
      </c>
      <c r="F12" s="64" t="s">
        <v>35</v>
      </c>
      <c r="G12" s="88" t="s">
        <v>34</v>
      </c>
      <c r="H12" s="92" t="s">
        <v>33</v>
      </c>
      <c r="I12" s="62"/>
      <c r="J12" s="64">
        <f>ROUNDUP(E12*0.75,2)</f>
        <v>0.75</v>
      </c>
      <c r="K12" s="64" t="s">
        <v>35</v>
      </c>
      <c r="L12" s="64" t="s">
        <v>34</v>
      </c>
      <c r="M12" s="64">
        <f>ROUNDUP((R5*E12)+(R6*J12)+(R7*(E12*2)),2)</f>
        <v>0</v>
      </c>
      <c r="N12" s="96">
        <f>M12</f>
        <v>0</v>
      </c>
      <c r="O12" s="100" t="s">
        <v>246</v>
      </c>
      <c r="P12" s="65" t="s">
        <v>36</v>
      </c>
      <c r="Q12" s="62"/>
      <c r="R12" s="66">
        <v>0.1</v>
      </c>
      <c r="S12" s="63">
        <f t="shared" ref="S12:S19" si="0">ROUNDUP(R12*0.75,2)</f>
        <v>0.08</v>
      </c>
      <c r="T12" s="80">
        <f>ROUNDUP((R5*R12)+(R6*S12)+(R7*(R12*2)),2)</f>
        <v>0</v>
      </c>
    </row>
    <row r="13" spans="1:21" ht="18.75" customHeight="1">
      <c r="A13" s="231"/>
      <c r="B13" s="84" t="s">
        <v>255</v>
      </c>
      <c r="C13" s="61" t="s">
        <v>38</v>
      </c>
      <c r="D13" s="62"/>
      <c r="E13" s="63">
        <v>10</v>
      </c>
      <c r="F13" s="64" t="s">
        <v>39</v>
      </c>
      <c r="G13" s="88"/>
      <c r="H13" s="92" t="s">
        <v>38</v>
      </c>
      <c r="I13" s="62"/>
      <c r="J13" s="64">
        <f>ROUNDUP(E13*0.75,2)</f>
        <v>7.5</v>
      </c>
      <c r="K13" s="64" t="s">
        <v>39</v>
      </c>
      <c r="L13" s="64"/>
      <c r="M13" s="64">
        <f>ROUNDUP((R5*E13)+(R6*J13)+(R7*(E13*2)),2)</f>
        <v>0</v>
      </c>
      <c r="N13" s="96">
        <f>ROUND(M13+(M13*6/100),2)</f>
        <v>0</v>
      </c>
      <c r="O13" s="36" t="s">
        <v>247</v>
      </c>
      <c r="P13" s="65" t="s">
        <v>37</v>
      </c>
      <c r="Q13" s="62"/>
      <c r="R13" s="66">
        <v>2</v>
      </c>
      <c r="S13" s="63">
        <f t="shared" si="0"/>
        <v>1.5</v>
      </c>
      <c r="T13" s="80">
        <f>ROUNDUP((R5*R13)+(R6*S13)+(R7*(R13*2)),2)</f>
        <v>0</v>
      </c>
    </row>
    <row r="14" spans="1:21" ht="18.75" customHeight="1">
      <c r="A14" s="231"/>
      <c r="B14" s="84"/>
      <c r="C14" s="61" t="s">
        <v>40</v>
      </c>
      <c r="D14" s="62"/>
      <c r="E14" s="63">
        <v>10</v>
      </c>
      <c r="F14" s="64" t="s">
        <v>39</v>
      </c>
      <c r="G14" s="88"/>
      <c r="H14" s="92" t="s">
        <v>40</v>
      </c>
      <c r="I14" s="62"/>
      <c r="J14" s="64">
        <f>ROUNDUP(E14*0.75,2)</f>
        <v>7.5</v>
      </c>
      <c r="K14" s="64" t="s">
        <v>39</v>
      </c>
      <c r="L14" s="64"/>
      <c r="M14" s="64">
        <f>ROUNDUP((R5*E14)+(R6*J14)+(R7*(E14*2)),2)</f>
        <v>0</v>
      </c>
      <c r="N14" s="96">
        <f>M14</f>
        <v>0</v>
      </c>
      <c r="O14" s="84" t="s">
        <v>30</v>
      </c>
      <c r="P14" s="65" t="s">
        <v>37</v>
      </c>
      <c r="Q14" s="62"/>
      <c r="R14" s="66">
        <v>1</v>
      </c>
      <c r="S14" s="63">
        <f t="shared" si="0"/>
        <v>0.75</v>
      </c>
      <c r="T14" s="80">
        <f>ROUNDUP((R5*R14)+(R6*S14)+(R7*(R14*2)),2)</f>
        <v>0</v>
      </c>
    </row>
    <row r="15" spans="1:21" ht="18.75" customHeight="1">
      <c r="A15" s="231"/>
      <c r="B15" s="84"/>
      <c r="C15" s="61" t="s">
        <v>45</v>
      </c>
      <c r="D15" s="62" t="s">
        <v>43</v>
      </c>
      <c r="E15" s="63">
        <v>30</v>
      </c>
      <c r="F15" s="64" t="s">
        <v>46</v>
      </c>
      <c r="G15" s="88"/>
      <c r="H15" s="92" t="s">
        <v>45</v>
      </c>
      <c r="I15" s="62" t="s">
        <v>43</v>
      </c>
      <c r="J15" s="64">
        <f>ROUNDUP(E15*0.75,2)</f>
        <v>22.5</v>
      </c>
      <c r="K15" s="64" t="s">
        <v>46</v>
      </c>
      <c r="L15" s="64"/>
      <c r="M15" s="64">
        <f>ROUNDUP((R5*E15)+(R6*J15)+(R7*(E15*2)),2)</f>
        <v>0</v>
      </c>
      <c r="N15" s="96">
        <f>M15</f>
        <v>0</v>
      </c>
      <c r="O15" s="84" t="s">
        <v>248</v>
      </c>
      <c r="P15" s="65" t="s">
        <v>36</v>
      </c>
      <c r="Q15" s="62"/>
      <c r="R15" s="66">
        <v>0.1</v>
      </c>
      <c r="S15" s="63">
        <f t="shared" si="0"/>
        <v>0.08</v>
      </c>
      <c r="T15" s="80">
        <f>ROUNDUP((R5*R15)+(R6*S15)+(R7*(R15*2)),2)</f>
        <v>0</v>
      </c>
    </row>
    <row r="16" spans="1:21" ht="18.75" customHeight="1">
      <c r="A16" s="231"/>
      <c r="B16" s="84"/>
      <c r="C16" s="61"/>
      <c r="D16" s="62"/>
      <c r="E16" s="63"/>
      <c r="F16" s="64"/>
      <c r="G16" s="88"/>
      <c r="H16" s="92"/>
      <c r="I16" s="62"/>
      <c r="J16" s="64"/>
      <c r="K16" s="64"/>
      <c r="L16" s="64"/>
      <c r="M16" s="64"/>
      <c r="N16" s="96"/>
      <c r="O16" s="36" t="s">
        <v>249</v>
      </c>
      <c r="P16" s="65" t="s">
        <v>41</v>
      </c>
      <c r="Q16" s="62"/>
      <c r="R16" s="66">
        <v>0.01</v>
      </c>
      <c r="S16" s="63">
        <f t="shared" si="0"/>
        <v>0.01</v>
      </c>
      <c r="T16" s="80">
        <f>ROUNDUP((R5*R16)+(R6*S16)+(R7*(R16*2)),2)</f>
        <v>0</v>
      </c>
    </row>
    <row r="17" spans="1:20" ht="18.75" customHeight="1">
      <c r="A17" s="231"/>
      <c r="B17" s="84"/>
      <c r="C17" s="61"/>
      <c r="D17" s="62"/>
      <c r="E17" s="63"/>
      <c r="F17" s="64"/>
      <c r="G17" s="88"/>
      <c r="H17" s="92"/>
      <c r="I17" s="62"/>
      <c r="J17" s="64"/>
      <c r="K17" s="64"/>
      <c r="L17" s="64"/>
      <c r="M17" s="64"/>
      <c r="N17" s="96"/>
      <c r="O17" s="84" t="s">
        <v>31</v>
      </c>
      <c r="P17" s="65" t="s">
        <v>42</v>
      </c>
      <c r="Q17" s="62" t="s">
        <v>43</v>
      </c>
      <c r="R17" s="66">
        <v>1</v>
      </c>
      <c r="S17" s="63">
        <f t="shared" si="0"/>
        <v>0.75</v>
      </c>
      <c r="T17" s="80">
        <f>ROUNDUP((R5*R17)+(R6*S17)+(R7*(R17*2)),2)</f>
        <v>0</v>
      </c>
    </row>
    <row r="18" spans="1:20" ht="18.75" customHeight="1">
      <c r="A18" s="231"/>
      <c r="B18" s="84"/>
      <c r="C18" s="61"/>
      <c r="D18" s="62"/>
      <c r="E18" s="63"/>
      <c r="F18" s="64"/>
      <c r="G18" s="88"/>
      <c r="H18" s="92"/>
      <c r="I18" s="62"/>
      <c r="J18" s="64"/>
      <c r="K18" s="64"/>
      <c r="L18" s="64"/>
      <c r="M18" s="64"/>
      <c r="N18" s="96"/>
      <c r="O18" s="100" t="s">
        <v>252</v>
      </c>
      <c r="P18" s="65" t="s">
        <v>44</v>
      </c>
      <c r="Q18" s="62" t="s">
        <v>27</v>
      </c>
      <c r="R18" s="66">
        <v>2</v>
      </c>
      <c r="S18" s="63">
        <f t="shared" si="0"/>
        <v>1.5</v>
      </c>
      <c r="T18" s="80">
        <f>ROUNDUP((R5*R18)+(R6*S18)+(R7*(R18*2)),2)</f>
        <v>0</v>
      </c>
    </row>
    <row r="19" spans="1:20" ht="18.75" customHeight="1">
      <c r="A19" s="231"/>
      <c r="B19" s="84"/>
      <c r="C19" s="61"/>
      <c r="D19" s="62"/>
      <c r="E19" s="63"/>
      <c r="F19" s="64"/>
      <c r="G19" s="88"/>
      <c r="H19" s="92"/>
      <c r="I19" s="62"/>
      <c r="J19" s="64"/>
      <c r="K19" s="64"/>
      <c r="L19" s="64"/>
      <c r="M19" s="64"/>
      <c r="N19" s="96"/>
      <c r="O19" s="101" t="s">
        <v>253</v>
      </c>
      <c r="P19" s="65" t="s">
        <v>47</v>
      </c>
      <c r="Q19" s="62" t="s">
        <v>27</v>
      </c>
      <c r="R19" s="66">
        <v>2</v>
      </c>
      <c r="S19" s="63">
        <f t="shared" si="0"/>
        <v>1.5</v>
      </c>
      <c r="T19" s="80">
        <f>ROUNDUP((R5*R19)+(R6*S19)+(R7*(R19*2)),2)</f>
        <v>0</v>
      </c>
    </row>
    <row r="20" spans="1:20" ht="18.75" customHeight="1">
      <c r="A20" s="231"/>
      <c r="B20" s="84"/>
      <c r="C20" s="61"/>
      <c r="D20" s="62"/>
      <c r="E20" s="63"/>
      <c r="F20" s="64"/>
      <c r="G20" s="88"/>
      <c r="H20" s="92"/>
      <c r="I20" s="62"/>
      <c r="J20" s="64"/>
      <c r="K20" s="64"/>
      <c r="L20" s="64"/>
      <c r="M20" s="64"/>
      <c r="N20" s="96"/>
      <c r="O20" s="100" t="s">
        <v>250</v>
      </c>
      <c r="P20" s="65"/>
      <c r="Q20" s="62"/>
      <c r="R20" s="66"/>
      <c r="S20" s="63"/>
      <c r="T20" s="80"/>
    </row>
    <row r="21" spans="1:20" ht="18.75" customHeight="1">
      <c r="A21" s="231"/>
      <c r="B21" s="84"/>
      <c r="C21" s="61"/>
      <c r="D21" s="62"/>
      <c r="E21" s="63"/>
      <c r="F21" s="64"/>
      <c r="G21" s="88"/>
      <c r="H21" s="92"/>
      <c r="I21" s="62"/>
      <c r="J21" s="64"/>
      <c r="K21" s="64"/>
      <c r="L21" s="64"/>
      <c r="M21" s="64"/>
      <c r="N21" s="96"/>
      <c r="O21" s="84" t="s">
        <v>251</v>
      </c>
      <c r="P21" s="65"/>
      <c r="Q21" s="62"/>
      <c r="R21" s="66"/>
      <c r="S21" s="63"/>
      <c r="T21" s="80"/>
    </row>
    <row r="22" spans="1:20" ht="18.75" customHeight="1">
      <c r="A22" s="231"/>
      <c r="B22" s="84"/>
      <c r="C22" s="61"/>
      <c r="D22" s="62"/>
      <c r="E22" s="63"/>
      <c r="F22" s="64"/>
      <c r="G22" s="88"/>
      <c r="H22" s="92"/>
      <c r="I22" s="62"/>
      <c r="J22" s="64"/>
      <c r="K22" s="64"/>
      <c r="L22" s="64"/>
      <c r="M22" s="64"/>
      <c r="N22" s="96"/>
      <c r="O22" s="84" t="s">
        <v>32</v>
      </c>
      <c r="P22" s="65"/>
      <c r="Q22" s="62"/>
      <c r="R22" s="66"/>
      <c r="S22" s="63"/>
      <c r="T22" s="80"/>
    </row>
    <row r="23" spans="1:20" ht="18.75" customHeight="1">
      <c r="A23" s="231"/>
      <c r="B23" s="83"/>
      <c r="C23" s="55"/>
      <c r="D23" s="56"/>
      <c r="E23" s="57"/>
      <c r="F23" s="58"/>
      <c r="G23" s="87"/>
      <c r="H23" s="91"/>
      <c r="I23" s="56"/>
      <c r="J23" s="58"/>
      <c r="K23" s="58"/>
      <c r="L23" s="58"/>
      <c r="M23" s="58"/>
      <c r="N23" s="95"/>
      <c r="O23" s="83"/>
      <c r="P23" s="59"/>
      <c r="Q23" s="56"/>
      <c r="R23" s="60"/>
      <c r="S23" s="57"/>
      <c r="T23" s="79"/>
    </row>
    <row r="24" spans="1:20" ht="18.75" customHeight="1">
      <c r="A24" s="231"/>
      <c r="B24" s="84" t="s">
        <v>48</v>
      </c>
      <c r="C24" s="61" t="s">
        <v>52</v>
      </c>
      <c r="D24" s="62"/>
      <c r="E24" s="67">
        <v>0.1</v>
      </c>
      <c r="F24" s="64" t="s">
        <v>29</v>
      </c>
      <c r="G24" s="88" t="s">
        <v>34</v>
      </c>
      <c r="H24" s="92" t="s">
        <v>52</v>
      </c>
      <c r="I24" s="62"/>
      <c r="J24" s="64">
        <f>ROUNDUP(E24*0.75,2)</f>
        <v>0.08</v>
      </c>
      <c r="K24" s="64" t="s">
        <v>29</v>
      </c>
      <c r="L24" s="64" t="s">
        <v>34</v>
      </c>
      <c r="M24" s="64">
        <f>ROUNDUP((R5*E24)+(R6*J24)+(R7*(E24*2)),2)</f>
        <v>0</v>
      </c>
      <c r="N24" s="96">
        <f>M24</f>
        <v>0</v>
      </c>
      <c r="O24" s="84" t="s">
        <v>49</v>
      </c>
      <c r="P24" s="65" t="s">
        <v>55</v>
      </c>
      <c r="Q24" s="62" t="s">
        <v>56</v>
      </c>
      <c r="R24" s="66">
        <v>4</v>
      </c>
      <c r="S24" s="63">
        <f>ROUNDUP(R24*0.75,2)</f>
        <v>3</v>
      </c>
      <c r="T24" s="80">
        <f>ROUNDUP((R5*R24)+(R6*S24)+(R7*(R24*2)),2)</f>
        <v>0</v>
      </c>
    </row>
    <row r="25" spans="1:20" ht="18.75" customHeight="1">
      <c r="A25" s="231"/>
      <c r="B25" s="84"/>
      <c r="C25" s="61" t="s">
        <v>53</v>
      </c>
      <c r="D25" s="62"/>
      <c r="E25" s="63">
        <v>30</v>
      </c>
      <c r="F25" s="64" t="s">
        <v>39</v>
      </c>
      <c r="G25" s="88"/>
      <c r="H25" s="92" t="s">
        <v>53</v>
      </c>
      <c r="I25" s="62"/>
      <c r="J25" s="64">
        <f>ROUNDUP(E25*0.75,2)</f>
        <v>22.5</v>
      </c>
      <c r="K25" s="64" t="s">
        <v>39</v>
      </c>
      <c r="L25" s="64"/>
      <c r="M25" s="64">
        <f>ROUNDUP((R5*E25)+(R6*J25)+(R7*(E25*2)),2)</f>
        <v>0</v>
      </c>
      <c r="N25" s="96">
        <f>ROUND(M25+(M25*6/100),2)</f>
        <v>0</v>
      </c>
      <c r="O25" s="84" t="s">
        <v>50</v>
      </c>
      <c r="P25" s="65" t="s">
        <v>57</v>
      </c>
      <c r="Q25" s="62"/>
      <c r="R25" s="66">
        <v>0.3</v>
      </c>
      <c r="S25" s="63">
        <f>ROUNDUP(R25*0.75,2)</f>
        <v>0.23</v>
      </c>
      <c r="T25" s="80">
        <f>ROUNDUP((R5*R25)+(R6*S25)+(R7*(R25*2)),2)</f>
        <v>0</v>
      </c>
    </row>
    <row r="26" spans="1:20" ht="18.75" customHeight="1">
      <c r="A26" s="231"/>
      <c r="B26" s="84"/>
      <c r="C26" s="61" t="s">
        <v>54</v>
      </c>
      <c r="D26" s="62"/>
      <c r="E26" s="63">
        <v>10</v>
      </c>
      <c r="F26" s="64" t="s">
        <v>39</v>
      </c>
      <c r="G26" s="88"/>
      <c r="H26" s="92" t="s">
        <v>54</v>
      </c>
      <c r="I26" s="62"/>
      <c r="J26" s="64">
        <f>ROUNDUP(E26*0.75,2)</f>
        <v>7.5</v>
      </c>
      <c r="K26" s="64" t="s">
        <v>39</v>
      </c>
      <c r="L26" s="64"/>
      <c r="M26" s="64">
        <f>ROUNDUP((R5*E26)+(R6*J26)+(R7*(E26*2)),2)</f>
        <v>0</v>
      </c>
      <c r="N26" s="96">
        <f>ROUND(M26+(M26*10/100),2)</f>
        <v>0</v>
      </c>
      <c r="O26" s="84" t="s">
        <v>51</v>
      </c>
      <c r="P26" s="65" t="s">
        <v>58</v>
      </c>
      <c r="Q26" s="62" t="s">
        <v>27</v>
      </c>
      <c r="R26" s="66">
        <v>0.3</v>
      </c>
      <c r="S26" s="63">
        <f>ROUNDUP(R26*0.75,2)</f>
        <v>0.23</v>
      </c>
      <c r="T26" s="80">
        <f>ROUNDUP((R5*R26)+(R6*S26)+(R7*(R26*2)),2)</f>
        <v>0</v>
      </c>
    </row>
    <row r="27" spans="1:20" ht="18.75" customHeight="1">
      <c r="A27" s="231"/>
      <c r="B27" s="84"/>
      <c r="C27" s="61"/>
      <c r="D27" s="62"/>
      <c r="E27" s="63"/>
      <c r="F27" s="64"/>
      <c r="G27" s="88"/>
      <c r="H27" s="92"/>
      <c r="I27" s="62"/>
      <c r="J27" s="64"/>
      <c r="K27" s="64"/>
      <c r="L27" s="64"/>
      <c r="M27" s="64"/>
      <c r="N27" s="96"/>
      <c r="O27" s="84" t="s">
        <v>32</v>
      </c>
      <c r="P27" s="65"/>
      <c r="Q27" s="62"/>
      <c r="R27" s="66"/>
      <c r="S27" s="63"/>
      <c r="T27" s="80"/>
    </row>
    <row r="28" spans="1:20" ht="18.75" customHeight="1">
      <c r="A28" s="231"/>
      <c r="B28" s="83"/>
      <c r="C28" s="55"/>
      <c r="D28" s="56"/>
      <c r="E28" s="57"/>
      <c r="F28" s="58"/>
      <c r="G28" s="87"/>
      <c r="H28" s="91"/>
      <c r="I28" s="56"/>
      <c r="J28" s="58"/>
      <c r="K28" s="58"/>
      <c r="L28" s="58"/>
      <c r="M28" s="58"/>
      <c r="N28" s="95"/>
      <c r="O28" s="83"/>
      <c r="P28" s="59"/>
      <c r="Q28" s="56"/>
      <c r="R28" s="60"/>
      <c r="S28" s="57"/>
      <c r="T28" s="79"/>
    </row>
    <row r="29" spans="1:20" ht="18.75" customHeight="1">
      <c r="A29" s="231"/>
      <c r="B29" s="84" t="s">
        <v>59</v>
      </c>
      <c r="C29" s="61" t="s">
        <v>60</v>
      </c>
      <c r="D29" s="62"/>
      <c r="E29" s="63">
        <v>5</v>
      </c>
      <c r="F29" s="64" t="s">
        <v>39</v>
      </c>
      <c r="G29" s="88"/>
      <c r="H29" s="92" t="s">
        <v>60</v>
      </c>
      <c r="I29" s="62"/>
      <c r="J29" s="64">
        <f>ROUNDUP(E29*0.75,2)</f>
        <v>3.75</v>
      </c>
      <c r="K29" s="64" t="s">
        <v>39</v>
      </c>
      <c r="L29" s="64"/>
      <c r="M29" s="64">
        <f>ROUNDUP((R5*E29)+(R6*J29)+(R7*(E29*2)),2)</f>
        <v>0</v>
      </c>
      <c r="N29" s="96">
        <f>M29</f>
        <v>0</v>
      </c>
      <c r="O29" s="84" t="s">
        <v>32</v>
      </c>
      <c r="P29" s="65" t="s">
        <v>62</v>
      </c>
      <c r="Q29" s="62"/>
      <c r="R29" s="66">
        <v>100</v>
      </c>
      <c r="S29" s="63">
        <f>ROUNDUP(R29*0.75,2)</f>
        <v>75</v>
      </c>
      <c r="T29" s="80">
        <f>ROUNDUP((R5*R29)+(R6*S29)+(R7*(R29*2)),2)</f>
        <v>0</v>
      </c>
    </row>
    <row r="30" spans="1:20" ht="18.75" customHeight="1">
      <c r="A30" s="231"/>
      <c r="B30" s="84"/>
      <c r="C30" s="61" t="s">
        <v>61</v>
      </c>
      <c r="D30" s="62"/>
      <c r="E30" s="63">
        <v>3</v>
      </c>
      <c r="F30" s="64" t="s">
        <v>39</v>
      </c>
      <c r="G30" s="88"/>
      <c r="H30" s="92" t="s">
        <v>61</v>
      </c>
      <c r="I30" s="62"/>
      <c r="J30" s="64">
        <f>ROUNDUP(E30*0.75,2)</f>
        <v>2.25</v>
      </c>
      <c r="K30" s="64" t="s">
        <v>39</v>
      </c>
      <c r="L30" s="64"/>
      <c r="M30" s="64">
        <f>ROUNDUP((R5*E30)+(R6*J30)+(R7*(E30*2)),2)</f>
        <v>0</v>
      </c>
      <c r="N30" s="96">
        <f>ROUND(M30+(M30*40/100),2)</f>
        <v>0</v>
      </c>
      <c r="O30" s="84"/>
      <c r="P30" s="65" t="s">
        <v>63</v>
      </c>
      <c r="Q30" s="62"/>
      <c r="R30" s="66">
        <v>3</v>
      </c>
      <c r="S30" s="63">
        <f>ROUNDUP(R30*0.75,2)</f>
        <v>2.25</v>
      </c>
      <c r="T30" s="80">
        <f>ROUNDUP((R5*R30)+(R6*S30)+(R7*(R30*2)),2)</f>
        <v>0</v>
      </c>
    </row>
    <row r="31" spans="1:20" ht="18.75" customHeight="1">
      <c r="A31" s="231"/>
      <c r="B31" s="83"/>
      <c r="C31" s="55"/>
      <c r="D31" s="56"/>
      <c r="E31" s="57"/>
      <c r="F31" s="58"/>
      <c r="G31" s="87"/>
      <c r="H31" s="91"/>
      <c r="I31" s="56"/>
      <c r="J31" s="58"/>
      <c r="K31" s="58"/>
      <c r="L31" s="58"/>
      <c r="M31" s="58"/>
      <c r="N31" s="95"/>
      <c r="O31" s="83"/>
      <c r="P31" s="59"/>
      <c r="Q31" s="56"/>
      <c r="R31" s="60"/>
      <c r="S31" s="57"/>
      <c r="T31" s="79"/>
    </row>
    <row r="32" spans="1:20" ht="18.75" customHeight="1">
      <c r="A32" s="231"/>
      <c r="B32" s="84" t="s">
        <v>64</v>
      </c>
      <c r="C32" s="61" t="s">
        <v>66</v>
      </c>
      <c r="D32" s="62"/>
      <c r="E32" s="68">
        <v>0.16666666666666666</v>
      </c>
      <c r="F32" s="64" t="s">
        <v>67</v>
      </c>
      <c r="G32" s="88"/>
      <c r="H32" s="92" t="s">
        <v>66</v>
      </c>
      <c r="I32" s="62"/>
      <c r="J32" s="64">
        <f>ROUNDUP(E32*0.75,2)</f>
        <v>0.13</v>
      </c>
      <c r="K32" s="64" t="s">
        <v>67</v>
      </c>
      <c r="L32" s="64"/>
      <c r="M32" s="64">
        <f>ROUNDUP((R5*E32)+(R6*J32)+(R7*(E32*2)),2)</f>
        <v>0</v>
      </c>
      <c r="N32" s="96">
        <f>M32</f>
        <v>0</v>
      </c>
      <c r="O32" s="84" t="s">
        <v>65</v>
      </c>
      <c r="P32" s="65"/>
      <c r="Q32" s="62"/>
      <c r="R32" s="66"/>
      <c r="S32" s="63"/>
      <c r="T32" s="80"/>
    </row>
    <row r="33" spans="1:20" ht="18.75" customHeight="1" thickBot="1">
      <c r="A33" s="232"/>
      <c r="B33" s="85"/>
      <c r="C33" s="69"/>
      <c r="D33" s="70"/>
      <c r="E33" s="71"/>
      <c r="F33" s="72"/>
      <c r="G33" s="89"/>
      <c r="H33" s="93"/>
      <c r="I33" s="70"/>
      <c r="J33" s="72"/>
      <c r="K33" s="72"/>
      <c r="L33" s="72"/>
      <c r="M33" s="72"/>
      <c r="N33" s="97"/>
      <c r="O33" s="85"/>
      <c r="P33" s="73"/>
      <c r="Q33" s="70"/>
      <c r="R33" s="74"/>
      <c r="S33" s="71"/>
      <c r="T33" s="81"/>
    </row>
  </sheetData>
  <mergeCells count="5">
    <mergeCell ref="H1:O1"/>
    <mergeCell ref="A2:T2"/>
    <mergeCell ref="Q3:T3"/>
    <mergeCell ref="A8:F8"/>
    <mergeCell ref="A10:A33"/>
  </mergeCells>
  <phoneticPr fontId="18"/>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showZeros="0" zoomScale="70" zoomScaleNormal="70" zoomScaleSheetLayoutView="80" workbookViewId="0">
      <selection activeCell="B1" sqref="A1:B1"/>
    </sheetView>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231</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25</v>
      </c>
      <c r="C10" s="48"/>
      <c r="D10" s="49"/>
      <c r="E10" s="54"/>
      <c r="F10" s="51"/>
      <c r="G10" s="86"/>
      <c r="H10" s="90"/>
      <c r="I10" s="49"/>
      <c r="J10" s="51"/>
      <c r="K10" s="51"/>
      <c r="L10" s="51"/>
      <c r="M10" s="51"/>
      <c r="N10" s="94"/>
      <c r="O10" s="82"/>
      <c r="P10" s="52" t="s">
        <v>25</v>
      </c>
      <c r="Q10" s="49"/>
      <c r="R10" s="53">
        <v>110</v>
      </c>
      <c r="S10" s="54">
        <f>ROUNDUP(R10*0.75,2)</f>
        <v>82.5</v>
      </c>
      <c r="T10" s="78">
        <f>ROUNDUP((R5*R10)+(R6*S10)+(R7*(R10*2)),2)</f>
        <v>0</v>
      </c>
    </row>
    <row r="11" spans="1:21" ht="18.75" customHeight="1">
      <c r="A11" s="231"/>
      <c r="B11" s="83"/>
      <c r="C11" s="55"/>
      <c r="D11" s="56"/>
      <c r="E11" s="57"/>
      <c r="F11" s="58"/>
      <c r="G11" s="87"/>
      <c r="H11" s="91"/>
      <c r="I11" s="56"/>
      <c r="J11" s="58"/>
      <c r="K11" s="58"/>
      <c r="L11" s="58"/>
      <c r="M11" s="58"/>
      <c r="N11" s="95"/>
      <c r="O11" s="83"/>
      <c r="P11" s="59"/>
      <c r="Q11" s="56"/>
      <c r="R11" s="60"/>
      <c r="S11" s="57"/>
      <c r="T11" s="79"/>
    </row>
    <row r="12" spans="1:21" ht="18.75" customHeight="1">
      <c r="A12" s="231"/>
      <c r="B12" s="84" t="s">
        <v>79</v>
      </c>
      <c r="C12" s="61" t="s">
        <v>85</v>
      </c>
      <c r="D12" s="62"/>
      <c r="E12" s="76">
        <v>0.33333333333333331</v>
      </c>
      <c r="F12" s="64" t="s">
        <v>86</v>
      </c>
      <c r="G12" s="88"/>
      <c r="H12" s="92" t="s">
        <v>85</v>
      </c>
      <c r="I12" s="62"/>
      <c r="J12" s="64">
        <f>ROUNDUP(E12*0.75,2)</f>
        <v>0.25</v>
      </c>
      <c r="K12" s="64" t="s">
        <v>86</v>
      </c>
      <c r="L12" s="64"/>
      <c r="M12" s="64">
        <f>ROUNDUP((R5*E12)+(R6*J12)+(R7*(E12*2)),2)</f>
        <v>0</v>
      </c>
      <c r="N12" s="96">
        <f>M12</f>
        <v>0</v>
      </c>
      <c r="O12" s="84" t="s">
        <v>80</v>
      </c>
      <c r="P12" s="65" t="s">
        <v>90</v>
      </c>
      <c r="Q12" s="62"/>
      <c r="R12" s="66">
        <v>2</v>
      </c>
      <c r="S12" s="63">
        <f t="shared" ref="S12:S17" si="0">ROUNDUP(R12*0.75,2)</f>
        <v>1.5</v>
      </c>
      <c r="T12" s="80">
        <f>ROUNDUP((R5*R12)+(R6*S12)+(R7*(R12*2)),2)</f>
        <v>0</v>
      </c>
    </row>
    <row r="13" spans="1:21" ht="18.75" customHeight="1">
      <c r="A13" s="231"/>
      <c r="B13" s="84"/>
      <c r="C13" s="61" t="s">
        <v>87</v>
      </c>
      <c r="D13" s="62"/>
      <c r="E13" s="63">
        <v>20</v>
      </c>
      <c r="F13" s="64" t="s">
        <v>39</v>
      </c>
      <c r="G13" s="88" t="s">
        <v>88</v>
      </c>
      <c r="H13" s="92" t="s">
        <v>87</v>
      </c>
      <c r="I13" s="62"/>
      <c r="J13" s="64">
        <f>ROUNDUP(E13*0.75,2)</f>
        <v>15</v>
      </c>
      <c r="K13" s="64" t="s">
        <v>39</v>
      </c>
      <c r="L13" s="64" t="s">
        <v>88</v>
      </c>
      <c r="M13" s="64">
        <f>ROUNDUP((R5*E13)+(R6*J13)+(R7*(E13*2)),2)</f>
        <v>0</v>
      </c>
      <c r="N13" s="96">
        <f>M13</f>
        <v>0</v>
      </c>
      <c r="O13" s="84" t="s">
        <v>81</v>
      </c>
      <c r="P13" s="65" t="s">
        <v>62</v>
      </c>
      <c r="Q13" s="62"/>
      <c r="R13" s="66">
        <v>15</v>
      </c>
      <c r="S13" s="63">
        <f t="shared" si="0"/>
        <v>11.25</v>
      </c>
      <c r="T13" s="80">
        <f>ROUNDUP((R5*R13)+(R6*S13)+(R7*(R13*2)),2)</f>
        <v>0</v>
      </c>
    </row>
    <row r="14" spans="1:21" ht="18.75" customHeight="1">
      <c r="A14" s="231"/>
      <c r="B14" s="84"/>
      <c r="C14" s="61" t="s">
        <v>38</v>
      </c>
      <c r="D14" s="62"/>
      <c r="E14" s="63">
        <v>20</v>
      </c>
      <c r="F14" s="64" t="s">
        <v>39</v>
      </c>
      <c r="G14" s="88"/>
      <c r="H14" s="92" t="s">
        <v>38</v>
      </c>
      <c r="I14" s="62"/>
      <c r="J14" s="64">
        <f>ROUNDUP(E14*0.75,2)</f>
        <v>15</v>
      </c>
      <c r="K14" s="64" t="s">
        <v>39</v>
      </c>
      <c r="L14" s="64"/>
      <c r="M14" s="64">
        <f>ROUNDUP((R5*E14)+(R6*J14)+(R7*(E14*2)),2)</f>
        <v>0</v>
      </c>
      <c r="N14" s="96">
        <f>ROUND(M14+(M14*6/100),2)</f>
        <v>0</v>
      </c>
      <c r="O14" s="84" t="s">
        <v>82</v>
      </c>
      <c r="P14" s="65" t="s">
        <v>57</v>
      </c>
      <c r="Q14" s="62"/>
      <c r="R14" s="66">
        <v>0.5</v>
      </c>
      <c r="S14" s="63">
        <f t="shared" si="0"/>
        <v>0.38</v>
      </c>
      <c r="T14" s="80">
        <f>ROUNDUP((R5*R14)+(R6*S14)+(R7*(R14*2)),2)</f>
        <v>0</v>
      </c>
    </row>
    <row r="15" spans="1:21" ht="18.75" customHeight="1">
      <c r="A15" s="231"/>
      <c r="B15" s="84"/>
      <c r="C15" s="61" t="s">
        <v>54</v>
      </c>
      <c r="D15" s="62"/>
      <c r="E15" s="63">
        <v>5</v>
      </c>
      <c r="F15" s="64" t="s">
        <v>39</v>
      </c>
      <c r="G15" s="88"/>
      <c r="H15" s="92" t="s">
        <v>54</v>
      </c>
      <c r="I15" s="62"/>
      <c r="J15" s="64">
        <f>ROUNDUP(E15*0.75,2)</f>
        <v>3.75</v>
      </c>
      <c r="K15" s="64" t="s">
        <v>39</v>
      </c>
      <c r="L15" s="64"/>
      <c r="M15" s="64">
        <f>ROUNDUP((R5*E15)+(R6*J15)+(R7*(E15*2)),2)</f>
        <v>0</v>
      </c>
      <c r="N15" s="96">
        <f>ROUND(M15+(M15*10/100),2)</f>
        <v>0</v>
      </c>
      <c r="O15" s="84" t="s">
        <v>83</v>
      </c>
      <c r="P15" s="65" t="s">
        <v>58</v>
      </c>
      <c r="Q15" s="62" t="s">
        <v>27</v>
      </c>
      <c r="R15" s="66">
        <v>1</v>
      </c>
      <c r="S15" s="63">
        <f t="shared" si="0"/>
        <v>0.75</v>
      </c>
      <c r="T15" s="80">
        <f>ROUNDUP((R5*R15)+(R6*S15)+(R7*(R15*2)),2)</f>
        <v>0</v>
      </c>
    </row>
    <row r="16" spans="1:21" ht="18.75" customHeight="1">
      <c r="A16" s="231"/>
      <c r="B16" s="84"/>
      <c r="C16" s="61" t="s">
        <v>89</v>
      </c>
      <c r="D16" s="62"/>
      <c r="E16" s="63">
        <v>5</v>
      </c>
      <c r="F16" s="64" t="s">
        <v>39</v>
      </c>
      <c r="G16" s="88"/>
      <c r="H16" s="92" t="s">
        <v>89</v>
      </c>
      <c r="I16" s="62"/>
      <c r="J16" s="64">
        <f>ROUNDUP(E16*0.75,2)</f>
        <v>3.75</v>
      </c>
      <c r="K16" s="64" t="s">
        <v>39</v>
      </c>
      <c r="L16" s="64"/>
      <c r="M16" s="64">
        <f>ROUNDUP((R5*E16)+(R6*J16)+(R7*(E16*2)),2)</f>
        <v>0</v>
      </c>
      <c r="N16" s="96">
        <f>M16</f>
        <v>0</v>
      </c>
      <c r="O16" s="84" t="s">
        <v>84</v>
      </c>
      <c r="P16" s="65" t="s">
        <v>91</v>
      </c>
      <c r="Q16" s="62"/>
      <c r="R16" s="66">
        <v>2</v>
      </c>
      <c r="S16" s="63">
        <f t="shared" si="0"/>
        <v>1.5</v>
      </c>
      <c r="T16" s="80">
        <f>ROUNDUP((R5*R16)+(R6*S16)+(R7*(R16*2)),2)</f>
        <v>0</v>
      </c>
    </row>
    <row r="17" spans="1:20" ht="18.75" customHeight="1">
      <c r="A17" s="231"/>
      <c r="B17" s="84"/>
      <c r="C17" s="61"/>
      <c r="D17" s="62"/>
      <c r="E17" s="63"/>
      <c r="F17" s="64"/>
      <c r="G17" s="88"/>
      <c r="H17" s="92"/>
      <c r="I17" s="62"/>
      <c r="J17" s="64"/>
      <c r="K17" s="64"/>
      <c r="L17" s="64"/>
      <c r="M17" s="64"/>
      <c r="N17" s="96"/>
      <c r="O17" s="84" t="s">
        <v>32</v>
      </c>
      <c r="P17" s="65" t="s">
        <v>92</v>
      </c>
      <c r="Q17" s="62"/>
      <c r="R17" s="66">
        <v>1</v>
      </c>
      <c r="S17" s="63">
        <f t="shared" si="0"/>
        <v>0.75</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93</v>
      </c>
      <c r="C19" s="61" t="s">
        <v>97</v>
      </c>
      <c r="D19" s="62"/>
      <c r="E19" s="63">
        <v>50</v>
      </c>
      <c r="F19" s="64" t="s">
        <v>39</v>
      </c>
      <c r="G19" s="88"/>
      <c r="H19" s="92" t="s">
        <v>97</v>
      </c>
      <c r="I19" s="62"/>
      <c r="J19" s="64">
        <f>ROUNDUP(E19*0.75,2)</f>
        <v>37.5</v>
      </c>
      <c r="K19" s="64" t="s">
        <v>39</v>
      </c>
      <c r="L19" s="64"/>
      <c r="M19" s="64">
        <f>ROUNDUP((R5*E19)+(R6*J19)+(R7*(E19*2)),2)</f>
        <v>0</v>
      </c>
      <c r="N19" s="96">
        <f>ROUND(M19+(M19*10/100),2)</f>
        <v>0</v>
      </c>
      <c r="O19" s="84" t="s">
        <v>94</v>
      </c>
      <c r="P19" s="65" t="s">
        <v>74</v>
      </c>
      <c r="Q19" s="62"/>
      <c r="R19" s="66">
        <v>20</v>
      </c>
      <c r="S19" s="63">
        <f>ROUNDUP(R19*0.75,2)</f>
        <v>15</v>
      </c>
      <c r="T19" s="80">
        <f>ROUNDUP((R5*R19)+(R6*S19)+(R7*(R19*2)),2)</f>
        <v>0</v>
      </c>
    </row>
    <row r="20" spans="1:20" ht="18.75" customHeight="1">
      <c r="A20" s="231"/>
      <c r="B20" s="84"/>
      <c r="C20" s="61"/>
      <c r="D20" s="62"/>
      <c r="E20" s="63"/>
      <c r="F20" s="64"/>
      <c r="G20" s="88"/>
      <c r="H20" s="92"/>
      <c r="I20" s="62"/>
      <c r="J20" s="64"/>
      <c r="K20" s="64"/>
      <c r="L20" s="64"/>
      <c r="M20" s="64"/>
      <c r="N20" s="96"/>
      <c r="O20" s="84" t="s">
        <v>95</v>
      </c>
      <c r="P20" s="65" t="s">
        <v>36</v>
      </c>
      <c r="Q20" s="62"/>
      <c r="R20" s="66">
        <v>0.1</v>
      </c>
      <c r="S20" s="63">
        <f>ROUNDUP(R20*0.75,2)</f>
        <v>0.08</v>
      </c>
      <c r="T20" s="80">
        <f>ROUNDUP((R5*R20)+(R6*S20)+(R7*(R20*2)),2)</f>
        <v>0</v>
      </c>
    </row>
    <row r="21" spans="1:20" ht="18.75" customHeight="1">
      <c r="A21" s="231"/>
      <c r="B21" s="84"/>
      <c r="C21" s="61"/>
      <c r="D21" s="62"/>
      <c r="E21" s="63"/>
      <c r="F21" s="64"/>
      <c r="G21" s="88"/>
      <c r="H21" s="92"/>
      <c r="I21" s="62"/>
      <c r="J21" s="64"/>
      <c r="K21" s="64"/>
      <c r="L21" s="64"/>
      <c r="M21" s="64"/>
      <c r="N21" s="96"/>
      <c r="O21" s="100" t="s">
        <v>256</v>
      </c>
      <c r="P21" s="65" t="s">
        <v>57</v>
      </c>
      <c r="Q21" s="62"/>
      <c r="R21" s="66">
        <v>1</v>
      </c>
      <c r="S21" s="63">
        <f>ROUNDUP(R21*0.75,2)</f>
        <v>0.75</v>
      </c>
      <c r="T21" s="80">
        <f>ROUNDUP((R5*R21)+(R6*S21)+(R7*(R21*2)),2)</f>
        <v>0</v>
      </c>
    </row>
    <row r="22" spans="1:20" ht="18.75" customHeight="1">
      <c r="A22" s="231"/>
      <c r="B22" s="84"/>
      <c r="C22" s="61"/>
      <c r="D22" s="62"/>
      <c r="E22" s="63"/>
      <c r="F22" s="64"/>
      <c r="G22" s="88"/>
      <c r="H22" s="92"/>
      <c r="I22" s="62"/>
      <c r="J22" s="64"/>
      <c r="K22" s="64"/>
      <c r="L22" s="64"/>
      <c r="M22" s="64"/>
      <c r="N22" s="96"/>
      <c r="O22" s="36" t="s">
        <v>257</v>
      </c>
      <c r="P22" s="65" t="s">
        <v>42</v>
      </c>
      <c r="Q22" s="62" t="s">
        <v>43</v>
      </c>
      <c r="R22" s="66">
        <v>1</v>
      </c>
      <c r="S22" s="63">
        <f>ROUNDUP(R22*0.75,2)</f>
        <v>0.75</v>
      </c>
      <c r="T22" s="80">
        <f>ROUNDUP((R5*R22)+(R6*S22)+(R7*(R22*2)),2)</f>
        <v>0</v>
      </c>
    </row>
    <row r="23" spans="1:20" ht="18.75" customHeight="1">
      <c r="A23" s="231"/>
      <c r="B23" s="84"/>
      <c r="C23" s="61"/>
      <c r="D23" s="62"/>
      <c r="E23" s="63"/>
      <c r="F23" s="64"/>
      <c r="G23" s="88"/>
      <c r="H23" s="92"/>
      <c r="I23" s="62"/>
      <c r="J23" s="64"/>
      <c r="K23" s="64"/>
      <c r="L23" s="64"/>
      <c r="M23" s="64"/>
      <c r="N23" s="96"/>
      <c r="O23" s="84" t="s">
        <v>96</v>
      </c>
      <c r="P23" s="65"/>
      <c r="Q23" s="62"/>
      <c r="R23" s="66"/>
      <c r="S23" s="63"/>
      <c r="T23" s="80"/>
    </row>
    <row r="24" spans="1:20" ht="18.75" customHeight="1">
      <c r="A24" s="231"/>
      <c r="B24" s="84"/>
      <c r="C24" s="61"/>
      <c r="D24" s="62"/>
      <c r="E24" s="63"/>
      <c r="F24" s="64"/>
      <c r="G24" s="88"/>
      <c r="H24" s="92"/>
      <c r="I24" s="62"/>
      <c r="J24" s="64"/>
      <c r="K24" s="64"/>
      <c r="L24" s="64"/>
      <c r="M24" s="64"/>
      <c r="N24" s="96"/>
      <c r="O24" s="84" t="s">
        <v>69</v>
      </c>
      <c r="P24" s="65"/>
      <c r="Q24" s="62"/>
      <c r="R24" s="66"/>
      <c r="S24" s="63"/>
      <c r="T24" s="80"/>
    </row>
    <row r="25" spans="1:20" ht="18.75" customHeight="1">
      <c r="A25" s="231"/>
      <c r="B25" s="83"/>
      <c r="C25" s="55"/>
      <c r="D25" s="56"/>
      <c r="E25" s="57"/>
      <c r="F25" s="58"/>
      <c r="G25" s="87"/>
      <c r="H25" s="91"/>
      <c r="I25" s="56"/>
      <c r="J25" s="58"/>
      <c r="K25" s="58"/>
      <c r="L25" s="58"/>
      <c r="M25" s="58"/>
      <c r="N25" s="95"/>
      <c r="O25" s="83"/>
      <c r="P25" s="59"/>
      <c r="Q25" s="56"/>
      <c r="R25" s="60"/>
      <c r="S25" s="57"/>
      <c r="T25" s="79"/>
    </row>
    <row r="26" spans="1:20" ht="18.75" customHeight="1">
      <c r="A26" s="231"/>
      <c r="B26" s="84" t="s">
        <v>98</v>
      </c>
      <c r="C26" s="61" t="s">
        <v>99</v>
      </c>
      <c r="D26" s="62"/>
      <c r="E26" s="63">
        <v>5</v>
      </c>
      <c r="F26" s="64" t="s">
        <v>39</v>
      </c>
      <c r="G26" s="88"/>
      <c r="H26" s="92" t="s">
        <v>99</v>
      </c>
      <c r="I26" s="62"/>
      <c r="J26" s="64">
        <f>ROUNDUP(E26*0.75,2)</f>
        <v>3.75</v>
      </c>
      <c r="K26" s="64" t="s">
        <v>39</v>
      </c>
      <c r="L26" s="64"/>
      <c r="M26" s="64">
        <f>ROUNDUP((R5*E26)+(R6*J26)+(R7*(E26*2)),2)</f>
        <v>0</v>
      </c>
      <c r="N26" s="96">
        <f>ROUND(M26+(M26*15/100),2)</f>
        <v>0</v>
      </c>
      <c r="O26" s="84" t="s">
        <v>32</v>
      </c>
      <c r="P26" s="65" t="s">
        <v>62</v>
      </c>
      <c r="Q26" s="62"/>
      <c r="R26" s="66">
        <v>100</v>
      </c>
      <c r="S26" s="63">
        <f>ROUNDUP(R26*0.75,2)</f>
        <v>75</v>
      </c>
      <c r="T26" s="80">
        <f>ROUNDUP((R5*R26)+(R6*S26)+(R7*(R26*2)),2)</f>
        <v>0</v>
      </c>
    </row>
    <row r="27" spans="1:20" ht="18.75" customHeight="1">
      <c r="A27" s="231"/>
      <c r="B27" s="84"/>
      <c r="C27" s="61" t="s">
        <v>100</v>
      </c>
      <c r="D27" s="62"/>
      <c r="E27" s="63">
        <v>0.5</v>
      </c>
      <c r="F27" s="64" t="s">
        <v>39</v>
      </c>
      <c r="G27" s="88"/>
      <c r="H27" s="92" t="s">
        <v>100</v>
      </c>
      <c r="I27" s="62"/>
      <c r="J27" s="64">
        <f>ROUNDUP(E27*0.75,2)</f>
        <v>0.38</v>
      </c>
      <c r="K27" s="64" t="s">
        <v>39</v>
      </c>
      <c r="L27" s="64"/>
      <c r="M27" s="64">
        <f>ROUNDUP((R5*E27)+(R6*J27)+(R7*(E27*2)),2)</f>
        <v>0</v>
      </c>
      <c r="N27" s="96">
        <f>M27</f>
        <v>0</v>
      </c>
      <c r="O27" s="84"/>
      <c r="P27" s="65" t="s">
        <v>36</v>
      </c>
      <c r="Q27" s="62"/>
      <c r="R27" s="66">
        <v>0.2</v>
      </c>
      <c r="S27" s="63">
        <f>ROUNDUP(R27*0.75,2)</f>
        <v>0.15</v>
      </c>
      <c r="T27" s="80">
        <f>ROUNDUP((R5*R27)+(R6*S27)+(R7*(R27*2)),2)</f>
        <v>0</v>
      </c>
    </row>
    <row r="28" spans="1:20" ht="18.75" customHeight="1">
      <c r="A28" s="231"/>
      <c r="B28" s="84"/>
      <c r="C28" s="61"/>
      <c r="D28" s="62"/>
      <c r="E28" s="63"/>
      <c r="F28" s="64"/>
      <c r="G28" s="88"/>
      <c r="H28" s="92"/>
      <c r="I28" s="62"/>
      <c r="J28" s="64"/>
      <c r="K28" s="64"/>
      <c r="L28" s="64"/>
      <c r="M28" s="64"/>
      <c r="N28" s="96"/>
      <c r="O28" s="84"/>
      <c r="P28" s="65" t="s">
        <v>58</v>
      </c>
      <c r="Q28" s="62" t="s">
        <v>27</v>
      </c>
      <c r="R28" s="66">
        <v>1.5</v>
      </c>
      <c r="S28" s="63">
        <f>ROUNDUP(R28*0.75,2)</f>
        <v>1.1300000000000001</v>
      </c>
      <c r="T28" s="80">
        <f>ROUNDUP((R5*R28)+(R6*S28)+(R7*(R28*2)),2)</f>
        <v>0</v>
      </c>
    </row>
    <row r="29" spans="1:20" ht="18.75" customHeight="1">
      <c r="A29" s="231"/>
      <c r="B29" s="83"/>
      <c r="C29" s="55"/>
      <c r="D29" s="56"/>
      <c r="E29" s="57"/>
      <c r="F29" s="58"/>
      <c r="G29" s="87"/>
      <c r="H29" s="91"/>
      <c r="I29" s="56"/>
      <c r="J29" s="58"/>
      <c r="K29" s="58"/>
      <c r="L29" s="58"/>
      <c r="M29" s="58"/>
      <c r="N29" s="95"/>
      <c r="O29" s="83"/>
      <c r="P29" s="59"/>
      <c r="Q29" s="56"/>
      <c r="R29" s="60"/>
      <c r="S29" s="57"/>
      <c r="T29" s="79"/>
    </row>
    <row r="30" spans="1:20" ht="18.75" customHeight="1">
      <c r="A30" s="231"/>
      <c r="B30" s="84" t="s">
        <v>101</v>
      </c>
      <c r="C30" s="61" t="s">
        <v>102</v>
      </c>
      <c r="D30" s="62"/>
      <c r="E30" s="75">
        <v>0.125</v>
      </c>
      <c r="F30" s="64" t="s">
        <v>67</v>
      </c>
      <c r="G30" s="88"/>
      <c r="H30" s="92" t="s">
        <v>102</v>
      </c>
      <c r="I30" s="62"/>
      <c r="J30" s="64">
        <f>ROUNDUP(E30*0.75,2)</f>
        <v>9.9999999999999992E-2</v>
      </c>
      <c r="K30" s="64" t="s">
        <v>67</v>
      </c>
      <c r="L30" s="64"/>
      <c r="M30" s="64">
        <f>ROUNDUP((R5*E30)+(R6*J30)+(R7*(E30*2)),2)</f>
        <v>0</v>
      </c>
      <c r="N30" s="96">
        <f>M30</f>
        <v>0</v>
      </c>
      <c r="O30" s="84" t="s">
        <v>65</v>
      </c>
      <c r="P30" s="65"/>
      <c r="Q30" s="62"/>
      <c r="R30" s="66"/>
      <c r="S30" s="63"/>
      <c r="T30" s="80"/>
    </row>
    <row r="31" spans="1:20" ht="18.75" customHeight="1" thickBot="1">
      <c r="A31" s="232"/>
      <c r="B31" s="85"/>
      <c r="C31" s="69"/>
      <c r="D31" s="70"/>
      <c r="E31" s="71"/>
      <c r="F31" s="72"/>
      <c r="G31" s="89"/>
      <c r="H31" s="93"/>
      <c r="I31" s="70"/>
      <c r="J31" s="72"/>
      <c r="K31" s="72"/>
      <c r="L31" s="72"/>
      <c r="M31" s="72"/>
      <c r="N31" s="97"/>
      <c r="O31" s="85"/>
      <c r="P31" s="73"/>
      <c r="Q31" s="70"/>
      <c r="R31" s="74"/>
      <c r="S31" s="71"/>
      <c r="T31" s="81"/>
    </row>
  </sheetData>
  <mergeCells count="5">
    <mergeCell ref="H1:O1"/>
    <mergeCell ref="A2:T2"/>
    <mergeCell ref="Q3:T3"/>
    <mergeCell ref="A8:F8"/>
    <mergeCell ref="A10:A31"/>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5"/>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232</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111</v>
      </c>
      <c r="C10" s="48" t="s">
        <v>108</v>
      </c>
      <c r="D10" s="49"/>
      <c r="E10" s="54">
        <v>30</v>
      </c>
      <c r="F10" s="51" t="s">
        <v>39</v>
      </c>
      <c r="G10" s="86"/>
      <c r="H10" s="90" t="s">
        <v>108</v>
      </c>
      <c r="I10" s="49"/>
      <c r="J10" s="51">
        <f t="shared" ref="J10:J16" si="0">ROUNDUP(E10*0.75,2)</f>
        <v>22.5</v>
      </c>
      <c r="K10" s="51" t="s">
        <v>39</v>
      </c>
      <c r="L10" s="51"/>
      <c r="M10" s="51">
        <f>ROUNDUP((R5*E10)+(R6*J10)+(R7*(E10*2)),2)</f>
        <v>0</v>
      </c>
      <c r="N10" s="94">
        <f>M10</f>
        <v>0</v>
      </c>
      <c r="O10" s="82" t="s">
        <v>112</v>
      </c>
      <c r="P10" s="52" t="s">
        <v>25</v>
      </c>
      <c r="Q10" s="49"/>
      <c r="R10" s="53">
        <v>110</v>
      </c>
      <c r="S10" s="54">
        <f t="shared" ref="S10:S15" si="1">ROUNDUP(R10*0.75,2)</f>
        <v>82.5</v>
      </c>
      <c r="T10" s="78">
        <f>ROUNDUP((R5*R10)+(R6*S10)+(R7*(R10*2)),2)</f>
        <v>0</v>
      </c>
    </row>
    <row r="11" spans="1:21" ht="18.75" customHeight="1">
      <c r="A11" s="231"/>
      <c r="B11" s="84"/>
      <c r="C11" s="61" t="s">
        <v>38</v>
      </c>
      <c r="D11" s="62"/>
      <c r="E11" s="63">
        <v>30</v>
      </c>
      <c r="F11" s="64" t="s">
        <v>39</v>
      </c>
      <c r="G11" s="88"/>
      <c r="H11" s="92" t="s">
        <v>38</v>
      </c>
      <c r="I11" s="62"/>
      <c r="J11" s="64">
        <f t="shared" si="0"/>
        <v>22.5</v>
      </c>
      <c r="K11" s="64" t="s">
        <v>39</v>
      </c>
      <c r="L11" s="64"/>
      <c r="M11" s="64">
        <f>ROUNDUP((R5*E11)+(R6*J11)+(R7*(E11*2)),2)</f>
        <v>0</v>
      </c>
      <c r="N11" s="96">
        <f>ROUND(M11+(M11*6/100),2)</f>
        <v>0</v>
      </c>
      <c r="O11" s="84" t="s">
        <v>113</v>
      </c>
      <c r="P11" s="65" t="s">
        <v>109</v>
      </c>
      <c r="Q11" s="62"/>
      <c r="R11" s="66">
        <v>0.5</v>
      </c>
      <c r="S11" s="63">
        <f t="shared" si="1"/>
        <v>0.38</v>
      </c>
      <c r="T11" s="80">
        <f>ROUNDUP((R5*R11)+(R6*S11)+(R7*(R11*2)),2)</f>
        <v>0</v>
      </c>
    </row>
    <row r="12" spans="1:21" ht="18.75" customHeight="1">
      <c r="A12" s="231"/>
      <c r="B12" s="84"/>
      <c r="C12" s="61" t="s">
        <v>116</v>
      </c>
      <c r="D12" s="62"/>
      <c r="E12" s="63">
        <v>40</v>
      </c>
      <c r="F12" s="64" t="s">
        <v>39</v>
      </c>
      <c r="G12" s="88"/>
      <c r="H12" s="92" t="s">
        <v>116</v>
      </c>
      <c r="I12" s="62"/>
      <c r="J12" s="64">
        <f t="shared" si="0"/>
        <v>30</v>
      </c>
      <c r="K12" s="64" t="s">
        <v>39</v>
      </c>
      <c r="L12" s="64"/>
      <c r="M12" s="64">
        <f>ROUNDUP((R5*E12)+(R6*J12)+(R7*(E12*2)),2)</f>
        <v>0</v>
      </c>
      <c r="N12" s="96">
        <f>ROUND(M12+(M12*10/100),2)</f>
        <v>0</v>
      </c>
      <c r="O12" s="84" t="s">
        <v>114</v>
      </c>
      <c r="P12" s="65" t="s">
        <v>37</v>
      </c>
      <c r="Q12" s="62"/>
      <c r="R12" s="66">
        <v>2</v>
      </c>
      <c r="S12" s="63">
        <f t="shared" si="1"/>
        <v>1.5</v>
      </c>
      <c r="T12" s="80">
        <f>ROUNDUP((R5*R12)+(R6*S12)+(R7*(R12*2)),2)</f>
        <v>0</v>
      </c>
    </row>
    <row r="13" spans="1:21" ht="18.75" customHeight="1">
      <c r="A13" s="231"/>
      <c r="B13" s="84"/>
      <c r="C13" s="61" t="s">
        <v>54</v>
      </c>
      <c r="D13" s="62"/>
      <c r="E13" s="63">
        <v>10</v>
      </c>
      <c r="F13" s="64" t="s">
        <v>39</v>
      </c>
      <c r="G13" s="88"/>
      <c r="H13" s="92" t="s">
        <v>54</v>
      </c>
      <c r="I13" s="62"/>
      <c r="J13" s="64">
        <f t="shared" si="0"/>
        <v>7.5</v>
      </c>
      <c r="K13" s="64" t="s">
        <v>39</v>
      </c>
      <c r="L13" s="64"/>
      <c r="M13" s="64">
        <f>ROUNDUP((R5*E13)+(R6*J13)+(R7*(E13*2)),2)</f>
        <v>0</v>
      </c>
      <c r="N13" s="96">
        <f>ROUND(M13+(M13*10/100),2)</f>
        <v>0</v>
      </c>
      <c r="O13" s="84" t="s">
        <v>115</v>
      </c>
      <c r="P13" s="65" t="s">
        <v>74</v>
      </c>
      <c r="Q13" s="62"/>
      <c r="R13" s="66">
        <v>40</v>
      </c>
      <c r="S13" s="63">
        <f t="shared" si="1"/>
        <v>30</v>
      </c>
      <c r="T13" s="80">
        <f>ROUNDUP((R5*R13)+(R6*S13)+(R7*(R13*2)),2)</f>
        <v>0</v>
      </c>
    </row>
    <row r="14" spans="1:21" ht="18.75" customHeight="1">
      <c r="A14" s="231"/>
      <c r="B14" s="84"/>
      <c r="C14" s="61" t="s">
        <v>117</v>
      </c>
      <c r="D14" s="62"/>
      <c r="E14" s="63">
        <v>10</v>
      </c>
      <c r="F14" s="64" t="s">
        <v>39</v>
      </c>
      <c r="G14" s="88"/>
      <c r="H14" s="92" t="s">
        <v>117</v>
      </c>
      <c r="I14" s="62"/>
      <c r="J14" s="64">
        <f t="shared" si="0"/>
        <v>7.5</v>
      </c>
      <c r="K14" s="64" t="s">
        <v>39</v>
      </c>
      <c r="L14" s="64"/>
      <c r="M14" s="64">
        <f>ROUNDUP((R5*E14)+(R6*J14)+(R7*(E14*2)),2)</f>
        <v>0</v>
      </c>
      <c r="N14" s="96">
        <f>M14</f>
        <v>0</v>
      </c>
      <c r="O14" s="100" t="s">
        <v>258</v>
      </c>
      <c r="P14" s="65" t="s">
        <v>57</v>
      </c>
      <c r="Q14" s="62"/>
      <c r="R14" s="66">
        <v>0.5</v>
      </c>
      <c r="S14" s="63">
        <f t="shared" si="1"/>
        <v>0.38</v>
      </c>
      <c r="T14" s="80">
        <f>ROUNDUP((R5*R14)+(R6*S14)+(R7*(R14*2)),2)</f>
        <v>0</v>
      </c>
    </row>
    <row r="15" spans="1:21" ht="18.75" customHeight="1">
      <c r="A15" s="231"/>
      <c r="B15" s="84"/>
      <c r="C15" s="61" t="s">
        <v>45</v>
      </c>
      <c r="D15" s="62" t="s">
        <v>43</v>
      </c>
      <c r="E15" s="63">
        <v>30</v>
      </c>
      <c r="F15" s="64" t="s">
        <v>46</v>
      </c>
      <c r="G15" s="88"/>
      <c r="H15" s="92" t="s">
        <v>45</v>
      </c>
      <c r="I15" s="62" t="s">
        <v>43</v>
      </c>
      <c r="J15" s="64">
        <f t="shared" si="0"/>
        <v>22.5</v>
      </c>
      <c r="K15" s="64" t="s">
        <v>46</v>
      </c>
      <c r="L15" s="64"/>
      <c r="M15" s="64">
        <f>ROUNDUP((R5*E15)+(R6*J15)+(R7*(E15*2)),2)</f>
        <v>0</v>
      </c>
      <c r="N15" s="96">
        <f>M15</f>
        <v>0</v>
      </c>
      <c r="O15" s="36" t="s">
        <v>259</v>
      </c>
      <c r="P15" s="65" t="s">
        <v>72</v>
      </c>
      <c r="Q15" s="62"/>
      <c r="R15" s="66">
        <v>2</v>
      </c>
      <c r="S15" s="63">
        <f t="shared" si="1"/>
        <v>1.5</v>
      </c>
      <c r="T15" s="80">
        <f>ROUNDUP((R5*R15)+(R6*S15)+(R7*(R15*2)),2)</f>
        <v>0</v>
      </c>
    </row>
    <row r="16" spans="1:21" ht="18.75" customHeight="1">
      <c r="A16" s="231"/>
      <c r="B16" s="84"/>
      <c r="C16" s="61" t="s">
        <v>118</v>
      </c>
      <c r="D16" s="62" t="s">
        <v>27</v>
      </c>
      <c r="E16" s="63">
        <v>9</v>
      </c>
      <c r="F16" s="64" t="s">
        <v>39</v>
      </c>
      <c r="G16" s="88"/>
      <c r="H16" s="92" t="s">
        <v>118</v>
      </c>
      <c r="I16" s="62" t="s">
        <v>27</v>
      </c>
      <c r="J16" s="64">
        <f t="shared" si="0"/>
        <v>6.75</v>
      </c>
      <c r="K16" s="64" t="s">
        <v>39</v>
      </c>
      <c r="L16" s="64"/>
      <c r="M16" s="64">
        <f>ROUNDUP((R5*E16)+(R6*J16)+(R7*(E16*2)),2)</f>
        <v>0</v>
      </c>
      <c r="N16" s="96">
        <f>M16</f>
        <v>0</v>
      </c>
      <c r="O16" s="84" t="s">
        <v>84</v>
      </c>
      <c r="P16" s="65"/>
      <c r="Q16" s="62"/>
      <c r="R16" s="66"/>
      <c r="S16" s="63"/>
      <c r="T16" s="80"/>
    </row>
    <row r="17" spans="1:20" ht="18.75" customHeight="1">
      <c r="A17" s="231"/>
      <c r="B17" s="84"/>
      <c r="C17" s="61"/>
      <c r="D17" s="62"/>
      <c r="E17" s="63"/>
      <c r="F17" s="64"/>
      <c r="G17" s="88"/>
      <c r="H17" s="92"/>
      <c r="I17" s="62"/>
      <c r="J17" s="64"/>
      <c r="K17" s="64"/>
      <c r="L17" s="64"/>
      <c r="M17" s="64"/>
      <c r="N17" s="96"/>
      <c r="O17" s="84" t="s">
        <v>32</v>
      </c>
      <c r="P17" s="65"/>
      <c r="Q17" s="62"/>
      <c r="R17" s="66"/>
      <c r="S17" s="63"/>
      <c r="T17" s="80"/>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119</v>
      </c>
      <c r="C19" s="61" t="s">
        <v>122</v>
      </c>
      <c r="D19" s="62"/>
      <c r="E19" s="63">
        <v>20</v>
      </c>
      <c r="F19" s="64" t="s">
        <v>39</v>
      </c>
      <c r="G19" s="88"/>
      <c r="H19" s="92" t="s">
        <v>122</v>
      </c>
      <c r="I19" s="62"/>
      <c r="J19" s="64">
        <f>ROUNDUP(E19*0.75,2)</f>
        <v>15</v>
      </c>
      <c r="K19" s="64" t="s">
        <v>39</v>
      </c>
      <c r="L19" s="64"/>
      <c r="M19" s="64">
        <f>ROUNDUP((R5*E19)+(R6*J19)+(R7*(E19*2)),2)</f>
        <v>0</v>
      </c>
      <c r="N19" s="96">
        <f>ROUND(M19+(M19*15/100),2)</f>
        <v>0</v>
      </c>
      <c r="O19" s="84" t="s">
        <v>120</v>
      </c>
      <c r="P19" s="65" t="s">
        <v>57</v>
      </c>
      <c r="Q19" s="62"/>
      <c r="R19" s="66">
        <v>1</v>
      </c>
      <c r="S19" s="63">
        <f>ROUNDUP(R19*0.75,2)</f>
        <v>0.75</v>
      </c>
      <c r="T19" s="80">
        <f>ROUNDUP((R5*R19)+(R6*S19)+(R7*(R19*2)),2)</f>
        <v>0</v>
      </c>
    </row>
    <row r="20" spans="1:20" ht="18.75" customHeight="1">
      <c r="A20" s="231"/>
      <c r="B20" s="84"/>
      <c r="C20" s="61" t="s">
        <v>123</v>
      </c>
      <c r="D20" s="62"/>
      <c r="E20" s="63">
        <v>20</v>
      </c>
      <c r="F20" s="64" t="s">
        <v>39</v>
      </c>
      <c r="G20" s="88"/>
      <c r="H20" s="92" t="s">
        <v>123</v>
      </c>
      <c r="I20" s="62"/>
      <c r="J20" s="64">
        <f>ROUNDUP(E20*0.75,2)</f>
        <v>15</v>
      </c>
      <c r="K20" s="64" t="s">
        <v>39</v>
      </c>
      <c r="L20" s="64"/>
      <c r="M20" s="64">
        <f>ROUNDUP((R5*E20)+(R6*J20)+(R7*(E20*2)),2)</f>
        <v>0</v>
      </c>
      <c r="N20" s="96">
        <f>ROUND(M20+(M20*3/100),2)</f>
        <v>0</v>
      </c>
      <c r="O20" s="84" t="s">
        <v>121</v>
      </c>
      <c r="P20" s="65" t="s">
        <v>36</v>
      </c>
      <c r="Q20" s="62"/>
      <c r="R20" s="66">
        <v>0.1</v>
      </c>
      <c r="S20" s="63">
        <f>ROUNDUP(R20*0.75,2)</f>
        <v>0.08</v>
      </c>
      <c r="T20" s="80">
        <f>ROUNDUP((R5*R20)+(R6*S20)+(R7*(R20*2)),2)</f>
        <v>0</v>
      </c>
    </row>
    <row r="21" spans="1:20" ht="18.75" customHeight="1">
      <c r="A21" s="231"/>
      <c r="B21" s="84"/>
      <c r="C21" s="61" t="s">
        <v>124</v>
      </c>
      <c r="D21" s="62"/>
      <c r="E21" s="63">
        <v>5</v>
      </c>
      <c r="F21" s="64" t="s">
        <v>39</v>
      </c>
      <c r="G21" s="88"/>
      <c r="H21" s="92" t="s">
        <v>124</v>
      </c>
      <c r="I21" s="62"/>
      <c r="J21" s="64">
        <f>ROUNDUP(E21*0.75,2)</f>
        <v>3.75</v>
      </c>
      <c r="K21" s="64" t="s">
        <v>39</v>
      </c>
      <c r="L21" s="64"/>
      <c r="M21" s="64">
        <f>ROUNDUP((R5*E21)+(R6*J21)+(R7*(E21*2)),2)</f>
        <v>0</v>
      </c>
      <c r="N21" s="96">
        <f>ROUND(M21+(M21*2/100),2)</f>
        <v>0</v>
      </c>
      <c r="O21" s="84" t="s">
        <v>32</v>
      </c>
      <c r="P21" s="65" t="s">
        <v>75</v>
      </c>
      <c r="Q21" s="62"/>
      <c r="R21" s="66">
        <v>2</v>
      </c>
      <c r="S21" s="63">
        <f>ROUNDUP(R21*0.75,2)</f>
        <v>1.5</v>
      </c>
      <c r="T21" s="80">
        <f>ROUNDUP((R5*R21)+(R6*S21)+(R7*(R21*2)),2)</f>
        <v>0</v>
      </c>
    </row>
    <row r="22" spans="1:20" ht="18.75" customHeight="1">
      <c r="A22" s="231"/>
      <c r="B22" s="84"/>
      <c r="C22" s="61"/>
      <c r="D22" s="62"/>
      <c r="E22" s="63"/>
      <c r="F22" s="64"/>
      <c r="G22" s="88"/>
      <c r="H22" s="92"/>
      <c r="I22" s="62"/>
      <c r="J22" s="64"/>
      <c r="K22" s="64"/>
      <c r="L22" s="64"/>
      <c r="M22" s="64"/>
      <c r="N22" s="96"/>
      <c r="O22" s="84"/>
      <c r="P22" s="65" t="s">
        <v>37</v>
      </c>
      <c r="Q22" s="62"/>
      <c r="R22" s="66">
        <v>2</v>
      </c>
      <c r="S22" s="63">
        <f>ROUNDUP(R22*0.75,2)</f>
        <v>1.5</v>
      </c>
      <c r="T22" s="80">
        <f>ROUNDUP((R5*R22)+(R6*S22)+(R7*(R22*2)),2)</f>
        <v>0</v>
      </c>
    </row>
    <row r="23" spans="1:20" ht="18.75" customHeight="1">
      <c r="A23" s="231"/>
      <c r="B23" s="83"/>
      <c r="C23" s="55"/>
      <c r="D23" s="56"/>
      <c r="E23" s="57"/>
      <c r="F23" s="58"/>
      <c r="G23" s="87"/>
      <c r="H23" s="91"/>
      <c r="I23" s="56"/>
      <c r="J23" s="58"/>
      <c r="K23" s="58"/>
      <c r="L23" s="58"/>
      <c r="M23" s="58"/>
      <c r="N23" s="95"/>
      <c r="O23" s="83"/>
      <c r="P23" s="59"/>
      <c r="Q23" s="56"/>
      <c r="R23" s="60"/>
      <c r="S23" s="57"/>
      <c r="T23" s="79"/>
    </row>
    <row r="24" spans="1:20" ht="18.75" customHeight="1">
      <c r="A24" s="231"/>
      <c r="B24" s="84" t="s">
        <v>125</v>
      </c>
      <c r="C24" s="61" t="s">
        <v>126</v>
      </c>
      <c r="D24" s="62"/>
      <c r="E24" s="68">
        <v>0.16666666666666666</v>
      </c>
      <c r="F24" s="64" t="s">
        <v>67</v>
      </c>
      <c r="G24" s="88"/>
      <c r="H24" s="92" t="s">
        <v>126</v>
      </c>
      <c r="I24" s="62"/>
      <c r="J24" s="64">
        <f>ROUNDUP(E24*0.75,2)</f>
        <v>0.13</v>
      </c>
      <c r="K24" s="64" t="s">
        <v>67</v>
      </c>
      <c r="L24" s="64"/>
      <c r="M24" s="64">
        <f>ROUNDUP((R5*E24)+(R6*J24)+(R7*(E24*2)),2)</f>
        <v>0</v>
      </c>
      <c r="N24" s="96">
        <f>M24</f>
        <v>0</v>
      </c>
      <c r="O24" s="84" t="s">
        <v>65</v>
      </c>
      <c r="P24" s="65"/>
      <c r="Q24" s="62"/>
      <c r="R24" s="66"/>
      <c r="S24" s="63"/>
      <c r="T24" s="80"/>
    </row>
    <row r="25" spans="1:20" ht="18.75" customHeight="1" thickBot="1">
      <c r="A25" s="232"/>
      <c r="B25" s="85"/>
      <c r="C25" s="69"/>
      <c r="D25" s="70"/>
      <c r="E25" s="71"/>
      <c r="F25" s="72"/>
      <c r="G25" s="89"/>
      <c r="H25" s="93"/>
      <c r="I25" s="70"/>
      <c r="J25" s="72"/>
      <c r="K25" s="72"/>
      <c r="L25" s="72"/>
      <c r="M25" s="72"/>
      <c r="N25" s="97"/>
      <c r="O25" s="85"/>
      <c r="P25" s="73"/>
      <c r="Q25" s="70"/>
      <c r="R25" s="74"/>
      <c r="S25" s="71"/>
      <c r="T25" s="81"/>
    </row>
  </sheetData>
  <mergeCells count="5">
    <mergeCell ref="H1:O1"/>
    <mergeCell ref="A2:T2"/>
    <mergeCell ref="Q3:T3"/>
    <mergeCell ref="A8:F8"/>
    <mergeCell ref="A10:A25"/>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233</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139</v>
      </c>
      <c r="C10" s="48" t="s">
        <v>143</v>
      </c>
      <c r="D10" s="49" t="s">
        <v>27</v>
      </c>
      <c r="E10" s="54">
        <v>40</v>
      </c>
      <c r="F10" s="51" t="s">
        <v>39</v>
      </c>
      <c r="G10" s="86"/>
      <c r="H10" s="90" t="s">
        <v>143</v>
      </c>
      <c r="I10" s="49" t="s">
        <v>27</v>
      </c>
      <c r="J10" s="51">
        <f>ROUNDUP(E10*0.75,2)</f>
        <v>30</v>
      </c>
      <c r="K10" s="51" t="s">
        <v>39</v>
      </c>
      <c r="L10" s="51"/>
      <c r="M10" s="51">
        <f>ROUNDUP((R5*E10)+(R6*J10)+(R7*(E10*2)),2)</f>
        <v>0</v>
      </c>
      <c r="N10" s="94">
        <f>M10</f>
        <v>0</v>
      </c>
      <c r="O10" s="82" t="s">
        <v>140</v>
      </c>
      <c r="P10" s="52" t="s">
        <v>42</v>
      </c>
      <c r="Q10" s="49" t="s">
        <v>43</v>
      </c>
      <c r="R10" s="53">
        <v>2</v>
      </c>
      <c r="S10" s="54">
        <f t="shared" ref="S10:S17" si="0">ROUNDUP(R10*0.75,2)</f>
        <v>1.5</v>
      </c>
      <c r="T10" s="78">
        <f>ROUNDUP((R5*R10)+(R6*S10)+(R7*(R10*2)),2)</f>
        <v>0</v>
      </c>
    </row>
    <row r="11" spans="1:21" ht="18.75" customHeight="1">
      <c r="A11" s="231"/>
      <c r="B11" s="84"/>
      <c r="C11" s="61" t="s">
        <v>38</v>
      </c>
      <c r="D11" s="62"/>
      <c r="E11" s="63">
        <v>30</v>
      </c>
      <c r="F11" s="64" t="s">
        <v>39</v>
      </c>
      <c r="G11" s="88"/>
      <c r="H11" s="92" t="s">
        <v>38</v>
      </c>
      <c r="I11" s="62"/>
      <c r="J11" s="64">
        <f>ROUNDUP(E11*0.75,2)</f>
        <v>22.5</v>
      </c>
      <c r="K11" s="64" t="s">
        <v>39</v>
      </c>
      <c r="L11" s="64"/>
      <c r="M11" s="64">
        <f>ROUNDUP((R5*E11)+(R6*J11)+(R7*(E11*2)),2)</f>
        <v>0</v>
      </c>
      <c r="N11" s="96">
        <f>ROUND(M11+(M11*6/100),2)</f>
        <v>0</v>
      </c>
      <c r="O11" s="84" t="s">
        <v>141</v>
      </c>
      <c r="P11" s="65" t="s">
        <v>37</v>
      </c>
      <c r="Q11" s="62"/>
      <c r="R11" s="66">
        <v>2</v>
      </c>
      <c r="S11" s="63">
        <f t="shared" si="0"/>
        <v>1.5</v>
      </c>
      <c r="T11" s="80">
        <f>ROUNDUP((R5*R11)+(R6*S11)+(R7*(R11*2)),2)</f>
        <v>0</v>
      </c>
    </row>
    <row r="12" spans="1:21" ht="18.75" customHeight="1">
      <c r="A12" s="231"/>
      <c r="B12" s="84"/>
      <c r="C12" s="61" t="s">
        <v>54</v>
      </c>
      <c r="D12" s="62"/>
      <c r="E12" s="63">
        <v>10</v>
      </c>
      <c r="F12" s="64" t="s">
        <v>39</v>
      </c>
      <c r="G12" s="88"/>
      <c r="H12" s="92" t="s">
        <v>54</v>
      </c>
      <c r="I12" s="62"/>
      <c r="J12" s="64">
        <f>ROUNDUP(E12*0.75,2)</f>
        <v>7.5</v>
      </c>
      <c r="K12" s="64" t="s">
        <v>39</v>
      </c>
      <c r="L12" s="64"/>
      <c r="M12" s="64">
        <f>ROUNDUP((R5*E12)+(R6*J12)+(R7*(E12*2)),2)</f>
        <v>0</v>
      </c>
      <c r="N12" s="96">
        <f>ROUND(M12+(M12*10/100),2)</f>
        <v>0</v>
      </c>
      <c r="O12" s="100" t="s">
        <v>260</v>
      </c>
      <c r="P12" s="65" t="s">
        <v>44</v>
      </c>
      <c r="Q12" s="62" t="s">
        <v>27</v>
      </c>
      <c r="R12" s="66">
        <v>2</v>
      </c>
      <c r="S12" s="63">
        <f t="shared" si="0"/>
        <v>1.5</v>
      </c>
      <c r="T12" s="80">
        <f>ROUNDUP((R5*R12)+(R6*S12)+(R7*(R12*2)),2)</f>
        <v>0</v>
      </c>
    </row>
    <row r="13" spans="1:21" ht="18.75" customHeight="1">
      <c r="A13" s="231"/>
      <c r="B13" s="84"/>
      <c r="C13" s="61" t="s">
        <v>144</v>
      </c>
      <c r="D13" s="62"/>
      <c r="E13" s="63">
        <v>40</v>
      </c>
      <c r="F13" s="64" t="s">
        <v>39</v>
      </c>
      <c r="G13" s="88"/>
      <c r="H13" s="92" t="s">
        <v>144</v>
      </c>
      <c r="I13" s="62"/>
      <c r="J13" s="64">
        <f>ROUNDUP(E13*0.75,2)</f>
        <v>30</v>
      </c>
      <c r="K13" s="64" t="s">
        <v>39</v>
      </c>
      <c r="L13" s="64"/>
      <c r="M13" s="64">
        <f>ROUNDUP((R5*E13)+(R6*J13)+(R7*(E13*2)),2)</f>
        <v>0</v>
      </c>
      <c r="N13" s="96">
        <f>M13</f>
        <v>0</v>
      </c>
      <c r="O13" s="36" t="s">
        <v>261</v>
      </c>
      <c r="P13" s="65" t="s">
        <v>74</v>
      </c>
      <c r="Q13" s="62"/>
      <c r="R13" s="66">
        <v>30</v>
      </c>
      <c r="S13" s="63">
        <f t="shared" si="0"/>
        <v>22.5</v>
      </c>
      <c r="T13" s="80">
        <f>ROUNDUP((R5*R13)+(R6*S13)+(R7*(R13*2)),2)</f>
        <v>0</v>
      </c>
    </row>
    <row r="14" spans="1:21" ht="18.75" customHeight="1">
      <c r="A14" s="231"/>
      <c r="B14" s="84"/>
      <c r="C14" s="61" t="s">
        <v>145</v>
      </c>
      <c r="D14" s="62"/>
      <c r="E14" s="63">
        <v>5</v>
      </c>
      <c r="F14" s="64" t="s">
        <v>39</v>
      </c>
      <c r="G14" s="88"/>
      <c r="H14" s="92" t="s">
        <v>145</v>
      </c>
      <c r="I14" s="62"/>
      <c r="J14" s="64">
        <f>ROUNDUP(E14*0.75,2)</f>
        <v>3.75</v>
      </c>
      <c r="K14" s="64" t="s">
        <v>39</v>
      </c>
      <c r="L14" s="64"/>
      <c r="M14" s="64">
        <f>ROUNDUP((R5*E14)+(R6*J14)+(R7*(E14*2)),2)</f>
        <v>0</v>
      </c>
      <c r="N14" s="96">
        <f>M14</f>
        <v>0</v>
      </c>
      <c r="O14" s="84" t="s">
        <v>142</v>
      </c>
      <c r="P14" s="65" t="s">
        <v>109</v>
      </c>
      <c r="Q14" s="62"/>
      <c r="R14" s="66">
        <v>1</v>
      </c>
      <c r="S14" s="63">
        <f t="shared" si="0"/>
        <v>0.75</v>
      </c>
      <c r="T14" s="80">
        <f>ROUNDUP((R5*R14)+(R6*S14)+(R7*(R14*2)),2)</f>
        <v>0</v>
      </c>
    </row>
    <row r="15" spans="1:21" ht="18.75" customHeight="1">
      <c r="A15" s="231"/>
      <c r="B15" s="84"/>
      <c r="C15" s="61"/>
      <c r="D15" s="62"/>
      <c r="E15" s="63"/>
      <c r="F15" s="64"/>
      <c r="G15" s="88"/>
      <c r="H15" s="92"/>
      <c r="I15" s="62"/>
      <c r="J15" s="64"/>
      <c r="K15" s="64"/>
      <c r="L15" s="64"/>
      <c r="M15" s="64"/>
      <c r="N15" s="96"/>
      <c r="O15" s="84" t="s">
        <v>84</v>
      </c>
      <c r="P15" s="65" t="s">
        <v>72</v>
      </c>
      <c r="Q15" s="62"/>
      <c r="R15" s="66">
        <v>15</v>
      </c>
      <c r="S15" s="63">
        <f t="shared" si="0"/>
        <v>11.25</v>
      </c>
      <c r="T15" s="80">
        <f>ROUNDUP((R5*R15)+(R6*S15)+(R7*(R15*2)),2)</f>
        <v>0</v>
      </c>
    </row>
    <row r="16" spans="1:21" ht="18.75" customHeight="1">
      <c r="A16" s="231"/>
      <c r="B16" s="84"/>
      <c r="C16" s="61"/>
      <c r="D16" s="62"/>
      <c r="E16" s="63"/>
      <c r="F16" s="64"/>
      <c r="G16" s="88"/>
      <c r="H16" s="92"/>
      <c r="I16" s="62"/>
      <c r="J16" s="64"/>
      <c r="K16" s="64"/>
      <c r="L16" s="64"/>
      <c r="M16" s="64"/>
      <c r="N16" s="96"/>
      <c r="O16" s="84" t="s">
        <v>32</v>
      </c>
      <c r="P16" s="65" t="s">
        <v>73</v>
      </c>
      <c r="Q16" s="62"/>
      <c r="R16" s="66">
        <v>2</v>
      </c>
      <c r="S16" s="63">
        <f t="shared" si="0"/>
        <v>1.5</v>
      </c>
      <c r="T16" s="80">
        <f>ROUNDUP((R5*R16)+(R6*S16)+(R7*(R16*2)),2)</f>
        <v>0</v>
      </c>
    </row>
    <row r="17" spans="1:20" ht="18.75" customHeight="1">
      <c r="A17" s="231"/>
      <c r="B17" s="84"/>
      <c r="C17" s="61"/>
      <c r="D17" s="62"/>
      <c r="E17" s="63"/>
      <c r="F17" s="64"/>
      <c r="G17" s="88"/>
      <c r="H17" s="92"/>
      <c r="I17" s="62"/>
      <c r="J17" s="64"/>
      <c r="K17" s="64"/>
      <c r="L17" s="64"/>
      <c r="M17" s="64"/>
      <c r="N17" s="96"/>
      <c r="O17" s="84"/>
      <c r="P17" s="65" t="s">
        <v>57</v>
      </c>
      <c r="Q17" s="62"/>
      <c r="R17" s="66">
        <v>0.5</v>
      </c>
      <c r="S17" s="63">
        <f t="shared" si="0"/>
        <v>0.38</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146</v>
      </c>
      <c r="C19" s="61" t="s">
        <v>53</v>
      </c>
      <c r="D19" s="62"/>
      <c r="E19" s="63">
        <v>40</v>
      </c>
      <c r="F19" s="64" t="s">
        <v>39</v>
      </c>
      <c r="G19" s="88"/>
      <c r="H19" s="92" t="s">
        <v>53</v>
      </c>
      <c r="I19" s="62"/>
      <c r="J19" s="64">
        <f>ROUNDUP(E19*0.75,2)</f>
        <v>30</v>
      </c>
      <c r="K19" s="64" t="s">
        <v>39</v>
      </c>
      <c r="L19" s="64"/>
      <c r="M19" s="64">
        <f>ROUNDUP((R5*E19)+(R6*J19)+(R7*(E19*2)),2)</f>
        <v>0</v>
      </c>
      <c r="N19" s="96">
        <f>ROUND(M19+(M19*6/100),2)</f>
        <v>0</v>
      </c>
      <c r="O19" s="84" t="s">
        <v>147</v>
      </c>
      <c r="P19" s="65" t="s">
        <v>55</v>
      </c>
      <c r="Q19" s="62" t="s">
        <v>56</v>
      </c>
      <c r="R19" s="66">
        <v>4</v>
      </c>
      <c r="S19" s="63">
        <f>ROUNDUP(R19*0.75,2)</f>
        <v>3</v>
      </c>
      <c r="T19" s="80">
        <f>ROUNDUP((R5*R19)+(R6*S19)+(R7*(R19*2)),2)</f>
        <v>0</v>
      </c>
    </row>
    <row r="20" spans="1:20" ht="18.75" customHeight="1">
      <c r="A20" s="231"/>
      <c r="B20" s="84"/>
      <c r="C20" s="61" t="s">
        <v>70</v>
      </c>
      <c r="D20" s="62" t="s">
        <v>71</v>
      </c>
      <c r="E20" s="77">
        <v>0.5</v>
      </c>
      <c r="F20" s="64" t="s">
        <v>67</v>
      </c>
      <c r="G20" s="88"/>
      <c r="H20" s="92" t="s">
        <v>70</v>
      </c>
      <c r="I20" s="62" t="s">
        <v>71</v>
      </c>
      <c r="J20" s="64">
        <f>ROUNDUP(E20*0.75,2)</f>
        <v>0.38</v>
      </c>
      <c r="K20" s="64" t="s">
        <v>67</v>
      </c>
      <c r="L20" s="64"/>
      <c r="M20" s="64">
        <f>ROUNDUP((R5*E20)+(R6*J20)+(R7*(E20*2)),2)</f>
        <v>0</v>
      </c>
      <c r="N20" s="96">
        <f>M20</f>
        <v>0</v>
      </c>
      <c r="O20" s="84" t="s">
        <v>133</v>
      </c>
      <c r="P20" s="65" t="s">
        <v>57</v>
      </c>
      <c r="Q20" s="62"/>
      <c r="R20" s="66">
        <v>0.3</v>
      </c>
      <c r="S20" s="63">
        <f>ROUNDUP(R20*0.75,2)</f>
        <v>0.23</v>
      </c>
      <c r="T20" s="80">
        <f>ROUNDUP((R5*R20)+(R6*S20)+(R7*(R20*2)),2)</f>
        <v>0</v>
      </c>
    </row>
    <row r="21" spans="1:20" ht="18.75" customHeight="1">
      <c r="A21" s="231"/>
      <c r="B21" s="84"/>
      <c r="C21" s="61"/>
      <c r="D21" s="62"/>
      <c r="E21" s="63"/>
      <c r="F21" s="64"/>
      <c r="G21" s="88"/>
      <c r="H21" s="92"/>
      <c r="I21" s="62"/>
      <c r="J21" s="64"/>
      <c r="K21" s="64"/>
      <c r="L21" s="64"/>
      <c r="M21" s="64"/>
      <c r="N21" s="96"/>
      <c r="O21" s="84" t="s">
        <v>32</v>
      </c>
      <c r="P21" s="65" t="s">
        <v>58</v>
      </c>
      <c r="Q21" s="62" t="s">
        <v>27</v>
      </c>
      <c r="R21" s="66">
        <v>0.3</v>
      </c>
      <c r="S21" s="63">
        <f>ROUNDUP(R21*0.75,2)</f>
        <v>0.23</v>
      </c>
      <c r="T21" s="80">
        <f>ROUNDUP((R5*R21)+(R6*S21)+(R7*(R21*2)),2)</f>
        <v>0</v>
      </c>
    </row>
    <row r="22" spans="1:20" ht="18.75" customHeight="1">
      <c r="A22" s="231"/>
      <c r="B22" s="83"/>
      <c r="C22" s="55"/>
      <c r="D22" s="56"/>
      <c r="E22" s="57"/>
      <c r="F22" s="58"/>
      <c r="G22" s="87"/>
      <c r="H22" s="91"/>
      <c r="I22" s="56"/>
      <c r="J22" s="58"/>
      <c r="K22" s="58"/>
      <c r="L22" s="58"/>
      <c r="M22" s="58"/>
      <c r="N22" s="95"/>
      <c r="O22" s="83"/>
      <c r="P22" s="59"/>
      <c r="Q22" s="56"/>
      <c r="R22" s="60"/>
      <c r="S22" s="57"/>
      <c r="T22" s="79"/>
    </row>
    <row r="23" spans="1:20" ht="18.75" customHeight="1">
      <c r="A23" s="231"/>
      <c r="B23" s="84" t="s">
        <v>148</v>
      </c>
      <c r="C23" s="61" t="s">
        <v>61</v>
      </c>
      <c r="D23" s="62"/>
      <c r="E23" s="63">
        <v>3</v>
      </c>
      <c r="F23" s="64" t="s">
        <v>39</v>
      </c>
      <c r="G23" s="88"/>
      <c r="H23" s="92" t="s">
        <v>61</v>
      </c>
      <c r="I23" s="62"/>
      <c r="J23" s="64">
        <f>ROUNDUP(E23*0.75,2)</f>
        <v>2.25</v>
      </c>
      <c r="K23" s="64" t="s">
        <v>39</v>
      </c>
      <c r="L23" s="64"/>
      <c r="M23" s="64">
        <f>ROUNDUP((R5*E23)+(R6*J23)+(R7*(E23*2)),2)</f>
        <v>0</v>
      </c>
      <c r="N23" s="96">
        <f>ROUND(M23+(M23*40/100),2)</f>
        <v>0</v>
      </c>
      <c r="O23" s="84" t="s">
        <v>32</v>
      </c>
      <c r="P23" s="65" t="s">
        <v>74</v>
      </c>
      <c r="Q23" s="62"/>
      <c r="R23" s="66">
        <v>100</v>
      </c>
      <c r="S23" s="63">
        <f>ROUNDUP(R23*0.75,2)</f>
        <v>75</v>
      </c>
      <c r="T23" s="80">
        <f>ROUNDUP((R5*R23)+(R6*S23)+(R7*(R23*2)),2)</f>
        <v>0</v>
      </c>
    </row>
    <row r="24" spans="1:20" ht="18.75" customHeight="1">
      <c r="A24" s="231"/>
      <c r="B24" s="84"/>
      <c r="C24" s="61" t="s">
        <v>100</v>
      </c>
      <c r="D24" s="62"/>
      <c r="E24" s="63">
        <v>0.5</v>
      </c>
      <c r="F24" s="64" t="s">
        <v>39</v>
      </c>
      <c r="G24" s="88"/>
      <c r="H24" s="92" t="s">
        <v>100</v>
      </c>
      <c r="I24" s="62"/>
      <c r="J24" s="64">
        <f>ROUNDUP(E24*0.75,2)</f>
        <v>0.38</v>
      </c>
      <c r="K24" s="64" t="s">
        <v>39</v>
      </c>
      <c r="L24" s="64"/>
      <c r="M24" s="64">
        <f>ROUNDUP((R5*E24)+(R6*J24)+(R7*(E24*2)),2)</f>
        <v>0</v>
      </c>
      <c r="N24" s="96">
        <f>M24</f>
        <v>0</v>
      </c>
      <c r="O24" s="84"/>
      <c r="P24" s="65" t="s">
        <v>36</v>
      </c>
      <c r="Q24" s="62"/>
      <c r="R24" s="66">
        <v>0.2</v>
      </c>
      <c r="S24" s="63">
        <f>ROUNDUP(R24*0.75,2)</f>
        <v>0.15</v>
      </c>
      <c r="T24" s="80">
        <f>ROUNDUP((R5*R24)+(R6*S24)+(R7*(R24*2)),2)</f>
        <v>0</v>
      </c>
    </row>
    <row r="25" spans="1:20" ht="18.75" customHeight="1">
      <c r="A25" s="231"/>
      <c r="B25" s="84"/>
      <c r="C25" s="61"/>
      <c r="D25" s="62"/>
      <c r="E25" s="63"/>
      <c r="F25" s="64"/>
      <c r="G25" s="88"/>
      <c r="H25" s="92"/>
      <c r="I25" s="62"/>
      <c r="J25" s="64"/>
      <c r="K25" s="64"/>
      <c r="L25" s="64"/>
      <c r="M25" s="64"/>
      <c r="N25" s="96"/>
      <c r="O25" s="84"/>
      <c r="P25" s="65" t="s">
        <v>149</v>
      </c>
      <c r="Q25" s="62" t="s">
        <v>150</v>
      </c>
      <c r="R25" s="66">
        <v>0.6</v>
      </c>
      <c r="S25" s="63">
        <f>ROUNDUP(R25*0.75,2)</f>
        <v>0.45</v>
      </c>
      <c r="T25" s="80">
        <f>ROUNDUP((R5*R25)+(R6*S25)+(R7*(R25*2)),2)</f>
        <v>0</v>
      </c>
    </row>
    <row r="26" spans="1:20" ht="18.75" customHeight="1" thickBot="1">
      <c r="A26" s="232"/>
      <c r="B26" s="85"/>
      <c r="C26" s="69"/>
      <c r="D26" s="70"/>
      <c r="E26" s="71"/>
      <c r="F26" s="72"/>
      <c r="G26" s="89"/>
      <c r="H26" s="93"/>
      <c r="I26" s="70"/>
      <c r="J26" s="72"/>
      <c r="K26" s="72"/>
      <c r="L26" s="72"/>
      <c r="M26" s="72"/>
      <c r="N26" s="97"/>
      <c r="O26" s="85"/>
      <c r="P26" s="73"/>
      <c r="Q26" s="70"/>
      <c r="R26" s="74"/>
      <c r="S26" s="71"/>
      <c r="T26" s="81"/>
    </row>
  </sheetData>
  <mergeCells count="5">
    <mergeCell ref="H1:O1"/>
    <mergeCell ref="A2:T2"/>
    <mergeCell ref="Q3:T3"/>
    <mergeCell ref="A8:F8"/>
    <mergeCell ref="A10:A26"/>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234</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25</v>
      </c>
      <c r="C10" s="48"/>
      <c r="D10" s="49"/>
      <c r="E10" s="54"/>
      <c r="F10" s="51"/>
      <c r="G10" s="86"/>
      <c r="H10" s="90"/>
      <c r="I10" s="49"/>
      <c r="J10" s="51"/>
      <c r="K10" s="51"/>
      <c r="L10" s="51"/>
      <c r="M10" s="51"/>
      <c r="N10" s="94"/>
      <c r="O10" s="82"/>
      <c r="P10" s="52" t="s">
        <v>25</v>
      </c>
      <c r="Q10" s="49"/>
      <c r="R10" s="53">
        <v>110</v>
      </c>
      <c r="S10" s="54">
        <f>ROUNDUP(R10*0.75,2)</f>
        <v>82.5</v>
      </c>
      <c r="T10" s="78">
        <f>ROUNDUP((R5*R10)+(R6*S10)+(R7*(R10*2)),2)</f>
        <v>0</v>
      </c>
    </row>
    <row r="11" spans="1:21" ht="18.75" customHeight="1">
      <c r="A11" s="231"/>
      <c r="B11" s="83"/>
      <c r="C11" s="55"/>
      <c r="D11" s="56"/>
      <c r="E11" s="57"/>
      <c r="F11" s="58"/>
      <c r="G11" s="87"/>
      <c r="H11" s="91"/>
      <c r="I11" s="56"/>
      <c r="J11" s="58"/>
      <c r="K11" s="58"/>
      <c r="L11" s="58"/>
      <c r="M11" s="58"/>
      <c r="N11" s="95"/>
      <c r="O11" s="83"/>
      <c r="P11" s="59"/>
      <c r="Q11" s="56"/>
      <c r="R11" s="60"/>
      <c r="S11" s="57"/>
      <c r="T11" s="79"/>
    </row>
    <row r="12" spans="1:21" ht="18.75" customHeight="1">
      <c r="A12" s="231"/>
      <c r="B12" s="84" t="s">
        <v>158</v>
      </c>
      <c r="C12" s="61" t="s">
        <v>161</v>
      </c>
      <c r="D12" s="62"/>
      <c r="E12" s="63">
        <v>1</v>
      </c>
      <c r="F12" s="64" t="s">
        <v>35</v>
      </c>
      <c r="G12" s="88" t="s">
        <v>34</v>
      </c>
      <c r="H12" s="92" t="s">
        <v>161</v>
      </c>
      <c r="I12" s="62"/>
      <c r="J12" s="64">
        <f>ROUNDUP(E12*0.75,2)</f>
        <v>0.75</v>
      </c>
      <c r="K12" s="64" t="s">
        <v>35</v>
      </c>
      <c r="L12" s="64" t="s">
        <v>34</v>
      </c>
      <c r="M12" s="64">
        <f>ROUNDUP((R5*E12)+(R6*J12)+(R7*(E12*2)),2)</f>
        <v>0</v>
      </c>
      <c r="N12" s="96">
        <f>M12</f>
        <v>0</v>
      </c>
      <c r="O12" s="84" t="s">
        <v>159</v>
      </c>
      <c r="P12" s="65" t="s">
        <v>58</v>
      </c>
      <c r="Q12" s="62" t="s">
        <v>27</v>
      </c>
      <c r="R12" s="66">
        <v>1</v>
      </c>
      <c r="S12" s="63">
        <f t="shared" ref="S12:S17" si="0">ROUNDUP(R12*0.75,2)</f>
        <v>0.75</v>
      </c>
      <c r="T12" s="80">
        <f>ROUNDUP((R5*R12)+(R6*S12)+(R7*(R12*2)),2)</f>
        <v>0</v>
      </c>
    </row>
    <row r="13" spans="1:21" ht="18.75" customHeight="1">
      <c r="A13" s="231"/>
      <c r="B13" s="84"/>
      <c r="C13" s="61" t="s">
        <v>162</v>
      </c>
      <c r="D13" s="62"/>
      <c r="E13" s="63">
        <v>0.5</v>
      </c>
      <c r="F13" s="64" t="s">
        <v>39</v>
      </c>
      <c r="G13" s="88"/>
      <c r="H13" s="92" t="s">
        <v>162</v>
      </c>
      <c r="I13" s="62"/>
      <c r="J13" s="64">
        <f>ROUNDUP(E13*0.75,2)</f>
        <v>0.38</v>
      </c>
      <c r="K13" s="64" t="s">
        <v>39</v>
      </c>
      <c r="L13" s="64"/>
      <c r="M13" s="64">
        <f>ROUNDUP((R5*E13)+(R6*J13)+(R7*(E13*2)),2)</f>
        <v>0</v>
      </c>
      <c r="N13" s="96">
        <f>ROUND(M13+(M13*20/100),2)</f>
        <v>0</v>
      </c>
      <c r="O13" s="84" t="s">
        <v>160</v>
      </c>
      <c r="P13" s="65" t="s">
        <v>91</v>
      </c>
      <c r="Q13" s="62"/>
      <c r="R13" s="66">
        <v>2</v>
      </c>
      <c r="S13" s="63">
        <f t="shared" si="0"/>
        <v>1.5</v>
      </c>
      <c r="T13" s="80">
        <f>ROUNDUP((R5*R13)+(R6*S13)+(R7*(R13*2)),2)</f>
        <v>0</v>
      </c>
    </row>
    <row r="14" spans="1:21" ht="18.75" customHeight="1">
      <c r="A14" s="231"/>
      <c r="B14" s="84"/>
      <c r="C14" s="61" t="s">
        <v>38</v>
      </c>
      <c r="D14" s="62"/>
      <c r="E14" s="63">
        <v>20</v>
      </c>
      <c r="F14" s="64" t="s">
        <v>39</v>
      </c>
      <c r="G14" s="88"/>
      <c r="H14" s="92" t="s">
        <v>38</v>
      </c>
      <c r="I14" s="62"/>
      <c r="J14" s="64">
        <f>ROUNDUP(E14*0.75,2)</f>
        <v>15</v>
      </c>
      <c r="K14" s="64" t="s">
        <v>39</v>
      </c>
      <c r="L14" s="64"/>
      <c r="M14" s="64">
        <f>ROUNDUP((R5*E14)+(R6*J14)+(R7*(E14*2)),2)</f>
        <v>0</v>
      </c>
      <c r="N14" s="96">
        <f>ROUND(M14+(M14*6/100),2)</f>
        <v>0</v>
      </c>
      <c r="O14" s="100" t="s">
        <v>262</v>
      </c>
      <c r="P14" s="65" t="s">
        <v>92</v>
      </c>
      <c r="Q14" s="62"/>
      <c r="R14" s="66">
        <v>3</v>
      </c>
      <c r="S14" s="63">
        <f t="shared" si="0"/>
        <v>2.25</v>
      </c>
      <c r="T14" s="80">
        <f>ROUNDUP((R5*R14)+(R6*S14)+(R7*(R14*2)),2)</f>
        <v>0</v>
      </c>
    </row>
    <row r="15" spans="1:21" ht="18.75" customHeight="1">
      <c r="A15" s="231"/>
      <c r="B15" s="84"/>
      <c r="C15" s="61" t="s">
        <v>163</v>
      </c>
      <c r="D15" s="62"/>
      <c r="E15" s="63">
        <v>0.5</v>
      </c>
      <c r="F15" s="64" t="s">
        <v>39</v>
      </c>
      <c r="G15" s="88"/>
      <c r="H15" s="92" t="s">
        <v>163</v>
      </c>
      <c r="I15" s="62"/>
      <c r="J15" s="64">
        <f>ROUNDUP(E15*0.75,2)</f>
        <v>0.38</v>
      </c>
      <c r="K15" s="64" t="s">
        <v>39</v>
      </c>
      <c r="L15" s="64"/>
      <c r="M15" s="64">
        <f>ROUNDUP((R5*E15)+(R6*J15)+(R7*(E15*2)),2)</f>
        <v>0</v>
      </c>
      <c r="N15" s="96">
        <f>ROUND(M15+(M15*10/100),2)</f>
        <v>0</v>
      </c>
      <c r="O15" s="36" t="s">
        <v>263</v>
      </c>
      <c r="P15" s="65" t="s">
        <v>37</v>
      </c>
      <c r="Q15" s="62"/>
      <c r="R15" s="66">
        <v>4</v>
      </c>
      <c r="S15" s="63">
        <f t="shared" si="0"/>
        <v>3</v>
      </c>
      <c r="T15" s="80">
        <f>ROUNDUP((R5*R15)+(R6*S15)+(R7*(R15*2)),2)</f>
        <v>0</v>
      </c>
    </row>
    <row r="16" spans="1:21" ht="18.75" customHeight="1">
      <c r="A16" s="231"/>
      <c r="B16" s="84"/>
      <c r="C16" s="61"/>
      <c r="D16" s="62"/>
      <c r="E16" s="63"/>
      <c r="F16" s="64"/>
      <c r="G16" s="88"/>
      <c r="H16" s="92"/>
      <c r="I16" s="62"/>
      <c r="J16" s="64"/>
      <c r="K16" s="64"/>
      <c r="L16" s="64"/>
      <c r="M16" s="64"/>
      <c r="N16" s="96"/>
      <c r="O16" s="84" t="s">
        <v>32</v>
      </c>
      <c r="P16" s="65" t="s">
        <v>37</v>
      </c>
      <c r="Q16" s="62"/>
      <c r="R16" s="66">
        <v>1</v>
      </c>
      <c r="S16" s="63">
        <f t="shared" si="0"/>
        <v>0.75</v>
      </c>
      <c r="T16" s="80">
        <f>ROUNDUP((R5*R16)+(R6*S16)+(R7*(R16*2)),2)</f>
        <v>0</v>
      </c>
    </row>
    <row r="17" spans="1:20" ht="18.75" customHeight="1">
      <c r="A17" s="231"/>
      <c r="B17" s="84"/>
      <c r="C17" s="61"/>
      <c r="D17" s="62"/>
      <c r="E17" s="63"/>
      <c r="F17" s="64"/>
      <c r="G17" s="88"/>
      <c r="H17" s="92"/>
      <c r="I17" s="62"/>
      <c r="J17" s="64"/>
      <c r="K17" s="64"/>
      <c r="L17" s="64"/>
      <c r="M17" s="64"/>
      <c r="N17" s="96"/>
      <c r="O17" s="84"/>
      <c r="P17" s="65" t="s">
        <v>36</v>
      </c>
      <c r="Q17" s="62"/>
      <c r="R17" s="66">
        <v>0.05</v>
      </c>
      <c r="S17" s="63">
        <f t="shared" si="0"/>
        <v>0.04</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164</v>
      </c>
      <c r="C19" s="61" t="s">
        <v>108</v>
      </c>
      <c r="D19" s="62"/>
      <c r="E19" s="63">
        <v>20</v>
      </c>
      <c r="F19" s="64" t="s">
        <v>39</v>
      </c>
      <c r="G19" s="88"/>
      <c r="H19" s="92" t="s">
        <v>108</v>
      </c>
      <c r="I19" s="62"/>
      <c r="J19" s="64">
        <f>ROUNDUP(E19*0.75,2)</f>
        <v>15</v>
      </c>
      <c r="K19" s="64" t="s">
        <v>39</v>
      </c>
      <c r="L19" s="64"/>
      <c r="M19" s="64">
        <f>ROUNDUP((R5*E19)+(R6*J19)+(R7*(E19*2)),2)</f>
        <v>0</v>
      </c>
      <c r="N19" s="96">
        <f>M19</f>
        <v>0</v>
      </c>
      <c r="O19" s="84" t="s">
        <v>165</v>
      </c>
      <c r="P19" s="65" t="s">
        <v>109</v>
      </c>
      <c r="Q19" s="62"/>
      <c r="R19" s="66">
        <v>0.5</v>
      </c>
      <c r="S19" s="63">
        <f>ROUNDUP(R19*0.75,2)</f>
        <v>0.38</v>
      </c>
      <c r="T19" s="80">
        <f>ROUNDUP((R5*R19)+(R6*S19)+(R7*(R19*2)),2)</f>
        <v>0</v>
      </c>
    </row>
    <row r="20" spans="1:20" ht="18.75" customHeight="1">
      <c r="A20" s="231"/>
      <c r="B20" s="84"/>
      <c r="C20" s="61" t="s">
        <v>116</v>
      </c>
      <c r="D20" s="62"/>
      <c r="E20" s="63">
        <v>30</v>
      </c>
      <c r="F20" s="64" t="s">
        <v>39</v>
      </c>
      <c r="G20" s="88"/>
      <c r="H20" s="92" t="s">
        <v>116</v>
      </c>
      <c r="I20" s="62"/>
      <c r="J20" s="64">
        <f>ROUNDUP(E20*0.75,2)</f>
        <v>22.5</v>
      </c>
      <c r="K20" s="64" t="s">
        <v>39</v>
      </c>
      <c r="L20" s="64"/>
      <c r="M20" s="64">
        <f>ROUNDUP((R5*E20)+(R6*J20)+(R7*(E20*2)),2)</f>
        <v>0</v>
      </c>
      <c r="N20" s="96">
        <f>ROUND(M20+(M20*10/100),2)</f>
        <v>0</v>
      </c>
      <c r="O20" s="84" t="s">
        <v>166</v>
      </c>
      <c r="P20" s="65" t="s">
        <v>37</v>
      </c>
      <c r="Q20" s="62"/>
      <c r="R20" s="66">
        <v>1.5</v>
      </c>
      <c r="S20" s="63">
        <f>ROUNDUP(R20*0.75,2)</f>
        <v>1.1300000000000001</v>
      </c>
      <c r="T20" s="80">
        <f>ROUNDUP((R5*R20)+(R6*S20)+(R7*(R20*2)),2)</f>
        <v>0</v>
      </c>
    </row>
    <row r="21" spans="1:20" ht="18.75" customHeight="1">
      <c r="A21" s="231"/>
      <c r="B21" s="84"/>
      <c r="C21" s="61" t="s">
        <v>54</v>
      </c>
      <c r="D21" s="62"/>
      <c r="E21" s="63">
        <v>10</v>
      </c>
      <c r="F21" s="64" t="s">
        <v>39</v>
      </c>
      <c r="G21" s="88"/>
      <c r="H21" s="92" t="s">
        <v>54</v>
      </c>
      <c r="I21" s="62"/>
      <c r="J21" s="64">
        <f>ROUNDUP(E21*0.75,2)</f>
        <v>7.5</v>
      </c>
      <c r="K21" s="64" t="s">
        <v>39</v>
      </c>
      <c r="L21" s="64"/>
      <c r="M21" s="64">
        <f>ROUNDUP((R5*E21)+(R6*J21)+(R7*(E21*2)),2)</f>
        <v>0</v>
      </c>
      <c r="N21" s="96">
        <f>ROUND(M21+(M21*10/100),2)</f>
        <v>0</v>
      </c>
      <c r="O21" s="84" t="s">
        <v>167</v>
      </c>
      <c r="P21" s="65" t="s">
        <v>62</v>
      </c>
      <c r="Q21" s="62"/>
      <c r="R21" s="66">
        <v>30</v>
      </c>
      <c r="S21" s="63">
        <f>ROUNDUP(R21*0.75,2)</f>
        <v>22.5</v>
      </c>
      <c r="T21" s="80">
        <f>ROUNDUP((R5*R21)+(R6*S21)+(R7*(R21*2)),2)</f>
        <v>0</v>
      </c>
    </row>
    <row r="22" spans="1:20" ht="18.75" customHeight="1">
      <c r="A22" s="231"/>
      <c r="B22" s="84"/>
      <c r="C22" s="61"/>
      <c r="D22" s="62"/>
      <c r="E22" s="63"/>
      <c r="F22" s="64"/>
      <c r="G22" s="88"/>
      <c r="H22" s="92"/>
      <c r="I22" s="62"/>
      <c r="J22" s="64"/>
      <c r="K22" s="64"/>
      <c r="L22" s="64"/>
      <c r="M22" s="64"/>
      <c r="N22" s="96"/>
      <c r="O22" s="84" t="s">
        <v>32</v>
      </c>
      <c r="P22" s="65" t="s">
        <v>57</v>
      </c>
      <c r="Q22" s="62"/>
      <c r="R22" s="66">
        <v>1</v>
      </c>
      <c r="S22" s="63">
        <f>ROUNDUP(R22*0.75,2)</f>
        <v>0.75</v>
      </c>
      <c r="T22" s="80">
        <f>ROUNDUP((R5*R22)+(R6*S22)+(R7*(R22*2)),2)</f>
        <v>0</v>
      </c>
    </row>
    <row r="23" spans="1:20" ht="18.75" customHeight="1">
      <c r="A23" s="231"/>
      <c r="B23" s="84"/>
      <c r="C23" s="61"/>
      <c r="D23" s="62"/>
      <c r="E23" s="63"/>
      <c r="F23" s="64"/>
      <c r="G23" s="88"/>
      <c r="H23" s="92"/>
      <c r="I23" s="62"/>
      <c r="J23" s="64"/>
      <c r="K23" s="64"/>
      <c r="L23" s="64"/>
      <c r="M23" s="64"/>
      <c r="N23" s="96"/>
      <c r="O23" s="84"/>
      <c r="P23" s="65" t="s">
        <v>58</v>
      </c>
      <c r="Q23" s="62" t="s">
        <v>27</v>
      </c>
      <c r="R23" s="66">
        <v>1</v>
      </c>
      <c r="S23" s="63">
        <f>ROUNDUP(R23*0.75,2)</f>
        <v>0.75</v>
      </c>
      <c r="T23" s="80">
        <f>ROUNDUP((R5*R23)+(R6*S23)+(R7*(R23*2)),2)</f>
        <v>0</v>
      </c>
    </row>
    <row r="24" spans="1:20" ht="18.75" customHeight="1">
      <c r="A24" s="231"/>
      <c r="B24" s="83"/>
      <c r="C24" s="55"/>
      <c r="D24" s="56"/>
      <c r="E24" s="57"/>
      <c r="F24" s="58"/>
      <c r="G24" s="87"/>
      <c r="H24" s="91"/>
      <c r="I24" s="56"/>
      <c r="J24" s="58"/>
      <c r="K24" s="58"/>
      <c r="L24" s="58"/>
      <c r="M24" s="58"/>
      <c r="N24" s="95"/>
      <c r="O24" s="83"/>
      <c r="P24" s="59"/>
      <c r="Q24" s="56"/>
      <c r="R24" s="60"/>
      <c r="S24" s="57"/>
      <c r="T24" s="79"/>
    </row>
    <row r="25" spans="1:20" ht="18.75" customHeight="1">
      <c r="A25" s="231"/>
      <c r="B25" s="84" t="s">
        <v>59</v>
      </c>
      <c r="C25" s="61" t="s">
        <v>70</v>
      </c>
      <c r="D25" s="62" t="s">
        <v>71</v>
      </c>
      <c r="E25" s="98">
        <v>0.25</v>
      </c>
      <c r="F25" s="64" t="s">
        <v>67</v>
      </c>
      <c r="G25" s="88"/>
      <c r="H25" s="92" t="s">
        <v>70</v>
      </c>
      <c r="I25" s="62" t="s">
        <v>71</v>
      </c>
      <c r="J25" s="64">
        <f>ROUNDUP(E25*0.75,2)</f>
        <v>0.19</v>
      </c>
      <c r="K25" s="64" t="s">
        <v>67</v>
      </c>
      <c r="L25" s="64"/>
      <c r="M25" s="64">
        <f>ROUNDUP((R5*E25)+(R6*J25)+(R7*(E25*2)),2)</f>
        <v>0</v>
      </c>
      <c r="N25" s="96">
        <f>M25</f>
        <v>0</v>
      </c>
      <c r="O25" s="84" t="s">
        <v>32</v>
      </c>
      <c r="P25" s="65" t="s">
        <v>62</v>
      </c>
      <c r="Q25" s="62"/>
      <c r="R25" s="66">
        <v>100</v>
      </c>
      <c r="S25" s="63">
        <f>ROUNDUP(R25*0.75,2)</f>
        <v>75</v>
      </c>
      <c r="T25" s="80">
        <f>ROUNDUP((R5*R25)+(R6*S25)+(R7*(R25*2)),2)</f>
        <v>0</v>
      </c>
    </row>
    <row r="26" spans="1:20" ht="18.75" customHeight="1">
      <c r="A26" s="231"/>
      <c r="B26" s="84"/>
      <c r="C26" s="61" t="s">
        <v>127</v>
      </c>
      <c r="D26" s="62" t="s">
        <v>27</v>
      </c>
      <c r="E26" s="67">
        <v>0.1</v>
      </c>
      <c r="F26" s="64" t="s">
        <v>29</v>
      </c>
      <c r="G26" s="88"/>
      <c r="H26" s="92" t="s">
        <v>127</v>
      </c>
      <c r="I26" s="62" t="s">
        <v>27</v>
      </c>
      <c r="J26" s="64">
        <f>ROUNDUP(E26*0.75,2)</f>
        <v>0.08</v>
      </c>
      <c r="K26" s="64" t="s">
        <v>29</v>
      </c>
      <c r="L26" s="64"/>
      <c r="M26" s="64">
        <f>ROUNDUP((R5*E26)+(R6*J26)+(R7*(E26*2)),2)</f>
        <v>0</v>
      </c>
      <c r="N26" s="96">
        <f>M26</f>
        <v>0</v>
      </c>
      <c r="O26" s="84"/>
      <c r="P26" s="65" t="s">
        <v>63</v>
      </c>
      <c r="Q26" s="62"/>
      <c r="R26" s="66">
        <v>3</v>
      </c>
      <c r="S26" s="63">
        <f>ROUNDUP(R26*0.75,2)</f>
        <v>2.25</v>
      </c>
      <c r="T26" s="80">
        <f>ROUNDUP((R5*R26)+(R6*S26)+(R7*(R26*2)),2)</f>
        <v>0</v>
      </c>
    </row>
    <row r="27" spans="1:20" ht="18.75" customHeight="1">
      <c r="A27" s="231"/>
      <c r="B27" s="83"/>
      <c r="C27" s="55"/>
      <c r="D27" s="56"/>
      <c r="E27" s="57"/>
      <c r="F27" s="58"/>
      <c r="G27" s="87"/>
      <c r="H27" s="91"/>
      <c r="I27" s="56"/>
      <c r="J27" s="58"/>
      <c r="K27" s="58"/>
      <c r="L27" s="58"/>
      <c r="M27" s="58"/>
      <c r="N27" s="95"/>
      <c r="O27" s="83"/>
      <c r="P27" s="59"/>
      <c r="Q27" s="56"/>
      <c r="R27" s="60"/>
      <c r="S27" s="57"/>
      <c r="T27" s="79"/>
    </row>
    <row r="28" spans="1:20" ht="18.75" customHeight="1">
      <c r="A28" s="231"/>
      <c r="B28" s="84" t="s">
        <v>64</v>
      </c>
      <c r="C28" s="61" t="s">
        <v>66</v>
      </c>
      <c r="D28" s="62"/>
      <c r="E28" s="68">
        <v>0.16666666666666666</v>
      </c>
      <c r="F28" s="64" t="s">
        <v>67</v>
      </c>
      <c r="G28" s="88"/>
      <c r="H28" s="92" t="s">
        <v>66</v>
      </c>
      <c r="I28" s="62"/>
      <c r="J28" s="64">
        <f>ROUNDUP(E28*0.75,2)</f>
        <v>0.13</v>
      </c>
      <c r="K28" s="64" t="s">
        <v>67</v>
      </c>
      <c r="L28" s="64"/>
      <c r="M28" s="64">
        <f>ROUNDUP((R5*E28)+(R6*J28)+(R7*(E28*2)),2)</f>
        <v>0</v>
      </c>
      <c r="N28" s="96">
        <f>M28</f>
        <v>0</v>
      </c>
      <c r="O28" s="84" t="s">
        <v>65</v>
      </c>
      <c r="P28" s="65"/>
      <c r="Q28" s="62"/>
      <c r="R28" s="66"/>
      <c r="S28" s="63"/>
      <c r="T28" s="80"/>
    </row>
    <row r="29" spans="1:20" ht="18.75" customHeight="1" thickBot="1">
      <c r="A29" s="232"/>
      <c r="B29" s="85"/>
      <c r="C29" s="69"/>
      <c r="D29" s="70"/>
      <c r="E29" s="71"/>
      <c r="F29" s="72"/>
      <c r="G29" s="89"/>
      <c r="H29" s="93"/>
      <c r="I29" s="70"/>
      <c r="J29" s="72"/>
      <c r="K29" s="72"/>
      <c r="L29" s="72"/>
      <c r="M29" s="72"/>
      <c r="N29" s="97"/>
      <c r="O29" s="85"/>
      <c r="P29" s="73"/>
      <c r="Q29" s="70"/>
      <c r="R29" s="74"/>
      <c r="S29" s="71"/>
      <c r="T29" s="81"/>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235</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176</v>
      </c>
      <c r="C10" s="48" t="s">
        <v>179</v>
      </c>
      <c r="D10" s="49"/>
      <c r="E10" s="54">
        <v>10</v>
      </c>
      <c r="F10" s="51" t="s">
        <v>39</v>
      </c>
      <c r="G10" s="86"/>
      <c r="H10" s="90" t="s">
        <v>179</v>
      </c>
      <c r="I10" s="49"/>
      <c r="J10" s="51">
        <f>ROUNDUP(E10*0.75,2)</f>
        <v>7.5</v>
      </c>
      <c r="K10" s="51" t="s">
        <v>39</v>
      </c>
      <c r="L10" s="51"/>
      <c r="M10" s="51">
        <f>ROUNDUP((R5*E10)+(R6*J10)+(R7*(E10*2)),2)</f>
        <v>0</v>
      </c>
      <c r="N10" s="94">
        <f>M10</f>
        <v>0</v>
      </c>
      <c r="O10" s="82" t="s">
        <v>177</v>
      </c>
      <c r="P10" s="52" t="s">
        <v>25</v>
      </c>
      <c r="Q10" s="49"/>
      <c r="R10" s="53">
        <v>110</v>
      </c>
      <c r="S10" s="54">
        <f>ROUNDUP(R10*0.75,2)</f>
        <v>82.5</v>
      </c>
      <c r="T10" s="78">
        <f>ROUNDUP((R5*R10)+(R6*S10)+(R7*(R10*2)),2)</f>
        <v>0</v>
      </c>
    </row>
    <row r="11" spans="1:21" ht="18.75" customHeight="1">
      <c r="A11" s="231"/>
      <c r="B11" s="84"/>
      <c r="C11" s="61"/>
      <c r="D11" s="62"/>
      <c r="E11" s="63"/>
      <c r="F11" s="64"/>
      <c r="G11" s="88"/>
      <c r="H11" s="92"/>
      <c r="I11" s="62"/>
      <c r="J11" s="64"/>
      <c r="K11" s="64"/>
      <c r="L11" s="64"/>
      <c r="M11" s="64"/>
      <c r="N11" s="96"/>
      <c r="O11" s="84" t="s">
        <v>178</v>
      </c>
      <c r="P11" s="65" t="s">
        <v>42</v>
      </c>
      <c r="Q11" s="62" t="s">
        <v>43</v>
      </c>
      <c r="R11" s="66">
        <v>1</v>
      </c>
      <c r="S11" s="63">
        <f>ROUNDUP(R11*0.75,2)</f>
        <v>0.75</v>
      </c>
      <c r="T11" s="80">
        <f>ROUNDUP((R5*R11)+(R6*S11)+(R7*(R11*2)),2)</f>
        <v>0</v>
      </c>
    </row>
    <row r="12" spans="1:21" ht="18.75" customHeight="1">
      <c r="A12" s="231"/>
      <c r="B12" s="84"/>
      <c r="C12" s="61"/>
      <c r="D12" s="62"/>
      <c r="E12" s="63"/>
      <c r="F12" s="64"/>
      <c r="G12" s="88"/>
      <c r="H12" s="92"/>
      <c r="I12" s="62"/>
      <c r="J12" s="64"/>
      <c r="K12" s="64"/>
      <c r="L12" s="64"/>
      <c r="M12" s="64"/>
      <c r="N12" s="96"/>
      <c r="O12" s="84" t="s">
        <v>32</v>
      </c>
      <c r="P12" s="65" t="s">
        <v>149</v>
      </c>
      <c r="Q12" s="62" t="s">
        <v>150</v>
      </c>
      <c r="R12" s="66">
        <v>0.5</v>
      </c>
      <c r="S12" s="63">
        <f>ROUNDUP(R12*0.75,2)</f>
        <v>0.38</v>
      </c>
      <c r="T12" s="80">
        <f>ROUNDUP((R5*R12)+(R6*S12)+(R7*(R12*2)),2)</f>
        <v>0</v>
      </c>
    </row>
    <row r="13" spans="1:21" ht="18.75" customHeight="1">
      <c r="A13" s="231"/>
      <c r="B13" s="83"/>
      <c r="C13" s="55"/>
      <c r="D13" s="56"/>
      <c r="E13" s="57"/>
      <c r="F13" s="58"/>
      <c r="G13" s="87"/>
      <c r="H13" s="91"/>
      <c r="I13" s="56"/>
      <c r="J13" s="58"/>
      <c r="K13" s="58"/>
      <c r="L13" s="58"/>
      <c r="M13" s="58"/>
      <c r="N13" s="95"/>
      <c r="O13" s="83"/>
      <c r="P13" s="59"/>
      <c r="Q13" s="56"/>
      <c r="R13" s="60"/>
      <c r="S13" s="57"/>
      <c r="T13" s="79"/>
    </row>
    <row r="14" spans="1:21" ht="18.75" customHeight="1">
      <c r="A14" s="231"/>
      <c r="B14" s="84" t="s">
        <v>265</v>
      </c>
      <c r="C14" s="61" t="s">
        <v>87</v>
      </c>
      <c r="D14" s="62"/>
      <c r="E14" s="63">
        <v>30</v>
      </c>
      <c r="F14" s="64" t="s">
        <v>39</v>
      </c>
      <c r="G14" s="88" t="s">
        <v>88</v>
      </c>
      <c r="H14" s="92" t="s">
        <v>87</v>
      </c>
      <c r="I14" s="62"/>
      <c r="J14" s="64">
        <f t="shared" ref="J14:J20" si="0">ROUNDUP(E14*0.75,2)</f>
        <v>22.5</v>
      </c>
      <c r="K14" s="64" t="s">
        <v>39</v>
      </c>
      <c r="L14" s="64" t="s">
        <v>88</v>
      </c>
      <c r="M14" s="64">
        <f>ROUNDUP((R5*E14)+(R6*J14)+(R7*(E14*2)),2)</f>
        <v>0</v>
      </c>
      <c r="N14" s="96">
        <f>M14</f>
        <v>0</v>
      </c>
      <c r="O14" s="84" t="s">
        <v>180</v>
      </c>
      <c r="P14" s="65" t="s">
        <v>37</v>
      </c>
      <c r="Q14" s="62"/>
      <c r="R14" s="66">
        <v>2</v>
      </c>
      <c r="S14" s="63">
        <f>ROUNDUP(R14*0.75,2)</f>
        <v>1.5</v>
      </c>
      <c r="T14" s="80">
        <f>ROUNDUP((R5*R14)+(R6*S14)+(R7*(R14*2)),2)</f>
        <v>0</v>
      </c>
    </row>
    <row r="15" spans="1:21" ht="18.75" customHeight="1">
      <c r="A15" s="231"/>
      <c r="B15" s="84" t="s">
        <v>266</v>
      </c>
      <c r="C15" s="61" t="s">
        <v>38</v>
      </c>
      <c r="D15" s="62"/>
      <c r="E15" s="63">
        <v>40</v>
      </c>
      <c r="F15" s="64" t="s">
        <v>39</v>
      </c>
      <c r="G15" s="88"/>
      <c r="H15" s="92" t="s">
        <v>38</v>
      </c>
      <c r="I15" s="62"/>
      <c r="J15" s="64">
        <f t="shared" si="0"/>
        <v>30</v>
      </c>
      <c r="K15" s="64" t="s">
        <v>39</v>
      </c>
      <c r="L15" s="64"/>
      <c r="M15" s="64">
        <f>ROUNDUP((R5*E15)+(R6*J15)+(R7*(E15*2)),2)</f>
        <v>0</v>
      </c>
      <c r="N15" s="96">
        <f>ROUND(M15+(M15*6/100),2)</f>
        <v>0</v>
      </c>
      <c r="O15" s="84" t="s">
        <v>181</v>
      </c>
      <c r="P15" s="65" t="s">
        <v>74</v>
      </c>
      <c r="Q15" s="62"/>
      <c r="R15" s="66">
        <v>60</v>
      </c>
      <c r="S15" s="63">
        <f>ROUNDUP(R15*0.75,2)</f>
        <v>45</v>
      </c>
      <c r="T15" s="80">
        <f>ROUNDUP((R5*R15)+(R6*S15)+(R7*(R15*2)),2)</f>
        <v>0</v>
      </c>
    </row>
    <row r="16" spans="1:21" ht="18.75" customHeight="1">
      <c r="A16" s="231"/>
      <c r="B16" s="84"/>
      <c r="C16" s="61" t="s">
        <v>97</v>
      </c>
      <c r="D16" s="62"/>
      <c r="E16" s="63">
        <v>30</v>
      </c>
      <c r="F16" s="64" t="s">
        <v>39</v>
      </c>
      <c r="G16" s="88"/>
      <c r="H16" s="92" t="s">
        <v>97</v>
      </c>
      <c r="I16" s="62"/>
      <c r="J16" s="64">
        <f t="shared" si="0"/>
        <v>22.5</v>
      </c>
      <c r="K16" s="64" t="s">
        <v>39</v>
      </c>
      <c r="L16" s="64"/>
      <c r="M16" s="64">
        <f>ROUNDUP((R5*E16)+(R6*J16)+(R7*(E16*2)),2)</f>
        <v>0</v>
      </c>
      <c r="N16" s="96">
        <f>ROUND(M16+(M16*10/100),2)</f>
        <v>0</v>
      </c>
      <c r="O16" s="84" t="s">
        <v>182</v>
      </c>
      <c r="P16" s="65"/>
      <c r="Q16" s="62"/>
      <c r="R16" s="66"/>
      <c r="S16" s="63"/>
      <c r="T16" s="80"/>
    </row>
    <row r="17" spans="1:20" ht="18.75" customHeight="1">
      <c r="A17" s="231"/>
      <c r="B17" s="84"/>
      <c r="C17" s="61" t="s">
        <v>54</v>
      </c>
      <c r="D17" s="62"/>
      <c r="E17" s="63">
        <v>10</v>
      </c>
      <c r="F17" s="64" t="s">
        <v>39</v>
      </c>
      <c r="G17" s="88"/>
      <c r="H17" s="92" t="s">
        <v>54</v>
      </c>
      <c r="I17" s="62"/>
      <c r="J17" s="64">
        <f t="shared" si="0"/>
        <v>7.5</v>
      </c>
      <c r="K17" s="64" t="s">
        <v>39</v>
      </c>
      <c r="L17" s="64"/>
      <c r="M17" s="64">
        <f>ROUNDUP((R5*E17)+(R6*J17)+(R7*(E17*2)),2)</f>
        <v>0</v>
      </c>
      <c r="N17" s="96">
        <f>ROUND(M17+(M17*10/100),2)</f>
        <v>0</v>
      </c>
      <c r="O17" s="84" t="s">
        <v>115</v>
      </c>
      <c r="P17" s="65"/>
      <c r="Q17" s="62"/>
      <c r="R17" s="66"/>
      <c r="S17" s="63"/>
      <c r="T17" s="80"/>
    </row>
    <row r="18" spans="1:20" ht="18.75" customHeight="1">
      <c r="A18" s="231"/>
      <c r="B18" s="84"/>
      <c r="C18" s="61" t="s">
        <v>183</v>
      </c>
      <c r="D18" s="62"/>
      <c r="E18" s="63">
        <v>10</v>
      </c>
      <c r="F18" s="64" t="s">
        <v>39</v>
      </c>
      <c r="G18" s="88" t="s">
        <v>103</v>
      </c>
      <c r="H18" s="92" t="s">
        <v>183</v>
      </c>
      <c r="I18" s="62"/>
      <c r="J18" s="64">
        <f t="shared" si="0"/>
        <v>7.5</v>
      </c>
      <c r="K18" s="64" t="s">
        <v>39</v>
      </c>
      <c r="L18" s="64" t="s">
        <v>103</v>
      </c>
      <c r="M18" s="64">
        <f>ROUNDUP((R5*E18)+(R6*J18)+(R7*(E18*2)),2)</f>
        <v>0</v>
      </c>
      <c r="N18" s="96">
        <f>M18</f>
        <v>0</v>
      </c>
      <c r="O18" s="100" t="s">
        <v>258</v>
      </c>
      <c r="P18" s="65"/>
      <c r="Q18" s="62"/>
      <c r="R18" s="66"/>
      <c r="S18" s="63"/>
      <c r="T18" s="80"/>
    </row>
    <row r="19" spans="1:20" ht="18.75" customHeight="1">
      <c r="A19" s="231"/>
      <c r="B19" s="84"/>
      <c r="C19" s="61" t="s">
        <v>184</v>
      </c>
      <c r="D19" s="62" t="s">
        <v>150</v>
      </c>
      <c r="E19" s="63">
        <v>9</v>
      </c>
      <c r="F19" s="64" t="s">
        <v>39</v>
      </c>
      <c r="G19" s="88"/>
      <c r="H19" s="92" t="s">
        <v>184</v>
      </c>
      <c r="I19" s="62" t="s">
        <v>150</v>
      </c>
      <c r="J19" s="64">
        <f t="shared" si="0"/>
        <v>6.75</v>
      </c>
      <c r="K19" s="64" t="s">
        <v>39</v>
      </c>
      <c r="L19" s="64"/>
      <c r="M19" s="64">
        <f>ROUNDUP((R5*E19)+(R6*J19)+(R7*(E19*2)),2)</f>
        <v>0</v>
      </c>
      <c r="N19" s="96">
        <f>M19</f>
        <v>0</v>
      </c>
      <c r="O19" s="36" t="s">
        <v>259</v>
      </c>
      <c r="P19" s="65"/>
      <c r="Q19" s="62"/>
      <c r="R19" s="66"/>
      <c r="S19" s="63"/>
      <c r="T19" s="80"/>
    </row>
    <row r="20" spans="1:20" ht="18.75" customHeight="1">
      <c r="A20" s="231"/>
      <c r="B20" s="84"/>
      <c r="C20" s="61" t="s">
        <v>45</v>
      </c>
      <c r="D20" s="62" t="s">
        <v>43</v>
      </c>
      <c r="E20" s="63">
        <v>40</v>
      </c>
      <c r="F20" s="64" t="s">
        <v>46</v>
      </c>
      <c r="G20" s="88"/>
      <c r="H20" s="92" t="s">
        <v>45</v>
      </c>
      <c r="I20" s="62" t="s">
        <v>43</v>
      </c>
      <c r="J20" s="64">
        <f t="shared" si="0"/>
        <v>30</v>
      </c>
      <c r="K20" s="64" t="s">
        <v>46</v>
      </c>
      <c r="L20" s="64"/>
      <c r="M20" s="64">
        <f>ROUNDUP((R5*E20)+(R6*J20)+(R7*(E20*2)),2)</f>
        <v>0</v>
      </c>
      <c r="N20" s="96">
        <f>M20</f>
        <v>0</v>
      </c>
      <c r="O20" s="84" t="s">
        <v>32</v>
      </c>
      <c r="P20" s="65"/>
      <c r="Q20" s="62"/>
      <c r="R20" s="66"/>
      <c r="S20" s="63"/>
      <c r="T20" s="80"/>
    </row>
    <row r="21" spans="1:20" ht="18.75" customHeight="1">
      <c r="A21" s="231"/>
      <c r="B21" s="83"/>
      <c r="C21" s="55"/>
      <c r="D21" s="56"/>
      <c r="E21" s="57"/>
      <c r="F21" s="58"/>
      <c r="G21" s="87"/>
      <c r="H21" s="91"/>
      <c r="I21" s="56"/>
      <c r="J21" s="58"/>
      <c r="K21" s="58"/>
      <c r="L21" s="58"/>
      <c r="M21" s="58"/>
      <c r="N21" s="95"/>
      <c r="O21" s="83"/>
      <c r="P21" s="59"/>
      <c r="Q21" s="56"/>
      <c r="R21" s="60"/>
      <c r="S21" s="57"/>
      <c r="T21" s="79"/>
    </row>
    <row r="22" spans="1:20" ht="18.75" customHeight="1">
      <c r="A22" s="231"/>
      <c r="B22" s="84" t="s">
        <v>185</v>
      </c>
      <c r="C22" s="61" t="s">
        <v>40</v>
      </c>
      <c r="D22" s="62"/>
      <c r="E22" s="63">
        <v>40</v>
      </c>
      <c r="F22" s="64" t="s">
        <v>39</v>
      </c>
      <c r="G22" s="88"/>
      <c r="H22" s="92" t="s">
        <v>40</v>
      </c>
      <c r="I22" s="62"/>
      <c r="J22" s="64">
        <f>ROUNDUP(E22*0.75,2)</f>
        <v>30</v>
      </c>
      <c r="K22" s="64" t="s">
        <v>39</v>
      </c>
      <c r="L22" s="64"/>
      <c r="M22" s="64">
        <f>ROUNDUP((R5*E22)+(R6*J22)+(R7*(E22*2)),2)</f>
        <v>0</v>
      </c>
      <c r="N22" s="96">
        <f>M22</f>
        <v>0</v>
      </c>
      <c r="O22" s="84" t="s">
        <v>186</v>
      </c>
      <c r="P22" s="65" t="s">
        <v>57</v>
      </c>
      <c r="Q22" s="62"/>
      <c r="R22" s="66">
        <v>1</v>
      </c>
      <c r="S22" s="63">
        <f>ROUNDUP(R22*0.75,2)</f>
        <v>0.75</v>
      </c>
      <c r="T22" s="80">
        <f>ROUNDUP((R5*R22)+(R6*S22)+(R7*(R22*2)),2)</f>
        <v>0</v>
      </c>
    </row>
    <row r="23" spans="1:20" ht="18.75" customHeight="1">
      <c r="A23" s="231"/>
      <c r="B23" s="84"/>
      <c r="C23" s="61" t="s">
        <v>173</v>
      </c>
      <c r="D23" s="62"/>
      <c r="E23" s="63">
        <v>10</v>
      </c>
      <c r="F23" s="64" t="s">
        <v>39</v>
      </c>
      <c r="G23" s="88"/>
      <c r="H23" s="92" t="s">
        <v>173</v>
      </c>
      <c r="I23" s="62"/>
      <c r="J23" s="64">
        <f>ROUNDUP(E23*0.75,2)</f>
        <v>7.5</v>
      </c>
      <c r="K23" s="64" t="s">
        <v>39</v>
      </c>
      <c r="L23" s="64"/>
      <c r="M23" s="64">
        <f>ROUNDUP((R5*E23)+(R6*J23)+(R7*(E23*2)),2)</f>
        <v>0</v>
      </c>
      <c r="N23" s="96">
        <f>ROUND(M23+(M23*3/100),2)</f>
        <v>0</v>
      </c>
      <c r="O23" s="84" t="s">
        <v>187</v>
      </c>
      <c r="P23" s="65" t="s">
        <v>36</v>
      </c>
      <c r="Q23" s="62"/>
      <c r="R23" s="66">
        <v>0.1</v>
      </c>
      <c r="S23" s="63">
        <f>ROUNDUP(R23*0.75,2)</f>
        <v>0.08</v>
      </c>
      <c r="T23" s="80">
        <f>ROUNDUP((R5*R23)+(R6*S23)+(R7*(R23*2)),2)</f>
        <v>0</v>
      </c>
    </row>
    <row r="24" spans="1:20" ht="18.75" customHeight="1">
      <c r="A24" s="231"/>
      <c r="B24" s="84"/>
      <c r="C24" s="61"/>
      <c r="D24" s="62"/>
      <c r="E24" s="63"/>
      <c r="F24" s="64"/>
      <c r="G24" s="88"/>
      <c r="H24" s="92"/>
      <c r="I24" s="62"/>
      <c r="J24" s="64"/>
      <c r="K24" s="64"/>
      <c r="L24" s="64"/>
      <c r="M24" s="64"/>
      <c r="N24" s="96"/>
      <c r="O24" s="84" t="s">
        <v>32</v>
      </c>
      <c r="P24" s="65" t="s">
        <v>75</v>
      </c>
      <c r="Q24" s="62"/>
      <c r="R24" s="66">
        <v>2</v>
      </c>
      <c r="S24" s="63">
        <f>ROUNDUP(R24*0.75,2)</f>
        <v>1.5</v>
      </c>
      <c r="T24" s="80">
        <f>ROUNDUP((R5*R24)+(R6*S24)+(R7*(R24*2)),2)</f>
        <v>0</v>
      </c>
    </row>
    <row r="25" spans="1:20" ht="18.75" customHeight="1">
      <c r="A25" s="231"/>
      <c r="B25" s="84"/>
      <c r="C25" s="61"/>
      <c r="D25" s="62"/>
      <c r="E25" s="63"/>
      <c r="F25" s="64"/>
      <c r="G25" s="88"/>
      <c r="H25" s="92"/>
      <c r="I25" s="62"/>
      <c r="J25" s="64"/>
      <c r="K25" s="64"/>
      <c r="L25" s="64"/>
      <c r="M25" s="64"/>
      <c r="N25" s="96"/>
      <c r="O25" s="84"/>
      <c r="P25" s="65" t="s">
        <v>37</v>
      </c>
      <c r="Q25" s="62"/>
      <c r="R25" s="66">
        <v>2</v>
      </c>
      <c r="S25" s="63">
        <f>ROUNDUP(R25*0.75,2)</f>
        <v>1.5</v>
      </c>
      <c r="T25" s="80">
        <f>ROUNDUP((R5*R25)+(R6*S25)+(R7*(R25*2)),2)</f>
        <v>0</v>
      </c>
    </row>
    <row r="26" spans="1:20" ht="18.75" customHeight="1">
      <c r="A26" s="231"/>
      <c r="B26" s="83"/>
      <c r="C26" s="55"/>
      <c r="D26" s="56"/>
      <c r="E26" s="57"/>
      <c r="F26" s="58"/>
      <c r="G26" s="87"/>
      <c r="H26" s="91"/>
      <c r="I26" s="56"/>
      <c r="J26" s="58"/>
      <c r="K26" s="58"/>
      <c r="L26" s="58"/>
      <c r="M26" s="58"/>
      <c r="N26" s="95"/>
      <c r="O26" s="83"/>
      <c r="P26" s="59"/>
      <c r="Q26" s="56"/>
      <c r="R26" s="60"/>
      <c r="S26" s="57"/>
      <c r="T26" s="79"/>
    </row>
    <row r="27" spans="1:20" ht="18.75" customHeight="1">
      <c r="A27" s="231"/>
      <c r="B27" s="84" t="s">
        <v>64</v>
      </c>
      <c r="C27" s="61" t="s">
        <v>66</v>
      </c>
      <c r="D27" s="62"/>
      <c r="E27" s="68">
        <v>0.16666666666666666</v>
      </c>
      <c r="F27" s="64" t="s">
        <v>67</v>
      </c>
      <c r="G27" s="88"/>
      <c r="H27" s="92" t="s">
        <v>66</v>
      </c>
      <c r="I27" s="62"/>
      <c r="J27" s="64">
        <f>ROUNDUP(E27*0.75,2)</f>
        <v>0.13</v>
      </c>
      <c r="K27" s="64" t="s">
        <v>67</v>
      </c>
      <c r="L27" s="64"/>
      <c r="M27" s="64">
        <f>ROUNDUP((R5*E27)+(R6*J27)+(R7*(E27*2)),2)</f>
        <v>0</v>
      </c>
      <c r="N27" s="96">
        <f>M27</f>
        <v>0</v>
      </c>
      <c r="O27" s="84" t="s">
        <v>65</v>
      </c>
      <c r="P27" s="65"/>
      <c r="Q27" s="62"/>
      <c r="R27" s="66"/>
      <c r="S27" s="63"/>
      <c r="T27" s="80"/>
    </row>
    <row r="28" spans="1:20" ht="18.75" customHeight="1" thickBot="1">
      <c r="A28" s="232"/>
      <c r="B28" s="85"/>
      <c r="C28" s="69"/>
      <c r="D28" s="70"/>
      <c r="E28" s="71"/>
      <c r="F28" s="72"/>
      <c r="G28" s="89"/>
      <c r="H28" s="93"/>
      <c r="I28" s="70"/>
      <c r="J28" s="72"/>
      <c r="K28" s="72"/>
      <c r="L28" s="72"/>
      <c r="M28" s="72"/>
      <c r="N28" s="97"/>
      <c r="O28" s="85"/>
      <c r="P28" s="73"/>
      <c r="Q28" s="70"/>
      <c r="R28" s="74"/>
      <c r="S28" s="71"/>
      <c r="T28" s="81"/>
    </row>
  </sheetData>
  <mergeCells count="5">
    <mergeCell ref="H1:O1"/>
    <mergeCell ref="A2:T2"/>
    <mergeCell ref="Q3:T3"/>
    <mergeCell ref="A8:F8"/>
    <mergeCell ref="A10:A28"/>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9" style="102"/>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236</v>
      </c>
      <c r="B8" s="229"/>
      <c r="C8" s="229"/>
      <c r="D8" s="229"/>
      <c r="E8" s="229"/>
      <c r="F8" s="229"/>
      <c r="G8" s="2"/>
      <c r="H8" s="2"/>
      <c r="I8" s="19"/>
      <c r="J8" s="2"/>
      <c r="K8" s="7"/>
      <c r="L8" s="7"/>
      <c r="M8" s="7"/>
      <c r="N8" s="17"/>
      <c r="O8" s="2"/>
      <c r="P8" s="20"/>
      <c r="Q8" s="19"/>
      <c r="R8" s="21"/>
      <c r="S8" s="21"/>
      <c r="T8" s="22"/>
      <c r="U8" s="18"/>
    </row>
    <row r="9" spans="1:21" s="102"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197</v>
      </c>
      <c r="C10" s="48" t="s">
        <v>202</v>
      </c>
      <c r="D10" s="49" t="s">
        <v>27</v>
      </c>
      <c r="E10" s="54">
        <v>40</v>
      </c>
      <c r="F10" s="51" t="s">
        <v>39</v>
      </c>
      <c r="G10" s="86"/>
      <c r="H10" s="90" t="s">
        <v>202</v>
      </c>
      <c r="I10" s="49" t="s">
        <v>27</v>
      </c>
      <c r="J10" s="51">
        <f>ROUNDUP(E10*0.75,2)</f>
        <v>30</v>
      </c>
      <c r="K10" s="51" t="s">
        <v>39</v>
      </c>
      <c r="L10" s="51"/>
      <c r="M10" s="51">
        <f>ROUNDUP((R5*E10)+(R6*J10)+(R7*(E10*2)),2)</f>
        <v>0</v>
      </c>
      <c r="N10" s="94">
        <f>M10</f>
        <v>0</v>
      </c>
      <c r="O10" s="82" t="s">
        <v>198</v>
      </c>
      <c r="P10" s="52" t="s">
        <v>109</v>
      </c>
      <c r="Q10" s="49"/>
      <c r="R10" s="53">
        <v>0.5</v>
      </c>
      <c r="S10" s="54">
        <f t="shared" ref="S10:S15" si="0">ROUNDUP(R10*0.75,2)</f>
        <v>0.38</v>
      </c>
      <c r="T10" s="78">
        <f>ROUNDUP((R5*R10)+(R6*S10)+(R7*(R10*2)),2)</f>
        <v>0</v>
      </c>
    </row>
    <row r="11" spans="1:21" ht="18.75" customHeight="1">
      <c r="A11" s="231"/>
      <c r="B11" s="84"/>
      <c r="C11" s="61" t="s">
        <v>108</v>
      </c>
      <c r="D11" s="62"/>
      <c r="E11" s="63">
        <v>30</v>
      </c>
      <c r="F11" s="64" t="s">
        <v>39</v>
      </c>
      <c r="G11" s="88"/>
      <c r="H11" s="92" t="s">
        <v>108</v>
      </c>
      <c r="I11" s="62"/>
      <c r="J11" s="64">
        <f>ROUNDUP(E11*0.75,2)</f>
        <v>22.5</v>
      </c>
      <c r="K11" s="64" t="s">
        <v>39</v>
      </c>
      <c r="L11" s="64"/>
      <c r="M11" s="64">
        <f>ROUNDUP((R5*E11)+(R6*J11)+(R7*(E11*2)),2)</f>
        <v>0</v>
      </c>
      <c r="N11" s="96">
        <f>M11</f>
        <v>0</v>
      </c>
      <c r="O11" s="84" t="s">
        <v>199</v>
      </c>
      <c r="P11" s="65" t="s">
        <v>37</v>
      </c>
      <c r="Q11" s="62"/>
      <c r="R11" s="66">
        <v>2</v>
      </c>
      <c r="S11" s="63">
        <f t="shared" si="0"/>
        <v>1.5</v>
      </c>
      <c r="T11" s="80">
        <f>ROUNDUP((R5*R11)+(R6*S11)+(R7*(R11*2)),2)</f>
        <v>0</v>
      </c>
    </row>
    <row r="12" spans="1:21" ht="18.75" customHeight="1">
      <c r="A12" s="231"/>
      <c r="B12" s="84"/>
      <c r="C12" s="61" t="s">
        <v>136</v>
      </c>
      <c r="D12" s="62"/>
      <c r="E12" s="63">
        <v>20</v>
      </c>
      <c r="F12" s="64" t="s">
        <v>39</v>
      </c>
      <c r="G12" s="88"/>
      <c r="H12" s="92" t="s">
        <v>136</v>
      </c>
      <c r="I12" s="62"/>
      <c r="J12" s="64">
        <f>ROUNDUP(E12*0.75,2)</f>
        <v>15</v>
      </c>
      <c r="K12" s="64" t="s">
        <v>39</v>
      </c>
      <c r="L12" s="64"/>
      <c r="M12" s="64">
        <f>ROUNDUP((R5*E12)+(R6*J12)+(R7*(E12*2)),2)</f>
        <v>0</v>
      </c>
      <c r="N12" s="96">
        <f>ROUND(M12+(M12*15/100),2)</f>
        <v>0</v>
      </c>
      <c r="O12" s="84" t="s">
        <v>200</v>
      </c>
      <c r="P12" s="65" t="s">
        <v>62</v>
      </c>
      <c r="Q12" s="62"/>
      <c r="R12" s="66">
        <v>100</v>
      </c>
      <c r="S12" s="63">
        <f t="shared" si="0"/>
        <v>75</v>
      </c>
      <c r="T12" s="80">
        <f>ROUNDUP((R5*R12)+(R6*S12)+(R7*(R12*2)),2)</f>
        <v>0</v>
      </c>
    </row>
    <row r="13" spans="1:21" ht="18.75" customHeight="1">
      <c r="A13" s="231"/>
      <c r="B13" s="84"/>
      <c r="C13" s="61" t="s">
        <v>54</v>
      </c>
      <c r="D13" s="62"/>
      <c r="E13" s="63">
        <v>10</v>
      </c>
      <c r="F13" s="64" t="s">
        <v>39</v>
      </c>
      <c r="G13" s="88"/>
      <c r="H13" s="92" t="s">
        <v>54</v>
      </c>
      <c r="I13" s="62"/>
      <c r="J13" s="64">
        <f>ROUNDUP(E13*0.75,2)</f>
        <v>7.5</v>
      </c>
      <c r="K13" s="64" t="s">
        <v>39</v>
      </c>
      <c r="L13" s="64"/>
      <c r="M13" s="64">
        <f>ROUNDUP((R5*E13)+(R6*J13)+(R7*(E13*2)),2)</f>
        <v>0</v>
      </c>
      <c r="N13" s="96">
        <f>ROUND(M13+(M13*10/100),2)</f>
        <v>0</v>
      </c>
      <c r="O13" s="84" t="s">
        <v>201</v>
      </c>
      <c r="P13" s="65" t="s">
        <v>91</v>
      </c>
      <c r="Q13" s="62"/>
      <c r="R13" s="66">
        <v>2</v>
      </c>
      <c r="S13" s="63">
        <f t="shared" si="0"/>
        <v>1.5</v>
      </c>
      <c r="T13" s="80">
        <f>ROUNDUP((R5*R13)+(R6*S13)+(R7*(R13*2)),2)</f>
        <v>0</v>
      </c>
    </row>
    <row r="14" spans="1:21" ht="18.75" customHeight="1">
      <c r="A14" s="231"/>
      <c r="B14" s="84"/>
      <c r="C14" s="61" t="s">
        <v>169</v>
      </c>
      <c r="D14" s="62"/>
      <c r="E14" s="63">
        <v>10</v>
      </c>
      <c r="F14" s="64" t="s">
        <v>39</v>
      </c>
      <c r="G14" s="88"/>
      <c r="H14" s="92" t="s">
        <v>169</v>
      </c>
      <c r="I14" s="62"/>
      <c r="J14" s="64">
        <f>ROUNDUP(E14*0.75,2)</f>
        <v>7.5</v>
      </c>
      <c r="K14" s="64" t="s">
        <v>39</v>
      </c>
      <c r="L14" s="64"/>
      <c r="M14" s="64">
        <f>ROUNDUP((R5*E14)+(R6*J14)+(R7*(E14*2)),2)</f>
        <v>0</v>
      </c>
      <c r="N14" s="96">
        <f>ROUND(M14+(M14*15/100),2)</f>
        <v>0</v>
      </c>
      <c r="O14" s="84" t="s">
        <v>32</v>
      </c>
      <c r="P14" s="65" t="s">
        <v>36</v>
      </c>
      <c r="Q14" s="62"/>
      <c r="R14" s="66">
        <v>0.1</v>
      </c>
      <c r="S14" s="63">
        <f t="shared" si="0"/>
        <v>0.08</v>
      </c>
      <c r="T14" s="80">
        <f>ROUNDUP((R5*R14)+(R6*S14)+(R7*(R14*2)),2)</f>
        <v>0</v>
      </c>
    </row>
    <row r="15" spans="1:21" ht="18.75" customHeight="1">
      <c r="A15" s="231"/>
      <c r="B15" s="84"/>
      <c r="C15" s="61"/>
      <c r="D15" s="62"/>
      <c r="E15" s="63"/>
      <c r="F15" s="64"/>
      <c r="G15" s="88"/>
      <c r="H15" s="92"/>
      <c r="I15" s="62"/>
      <c r="J15" s="64"/>
      <c r="K15" s="64"/>
      <c r="L15" s="64"/>
      <c r="M15" s="64"/>
      <c r="N15" s="96"/>
      <c r="O15" s="84"/>
      <c r="P15" s="65" t="s">
        <v>58</v>
      </c>
      <c r="Q15" s="62" t="s">
        <v>27</v>
      </c>
      <c r="R15" s="66">
        <v>2</v>
      </c>
      <c r="S15" s="63">
        <f t="shared" si="0"/>
        <v>1.5</v>
      </c>
      <c r="T15" s="80">
        <f>ROUNDUP((R5*R15)+(R6*S15)+(R7*(R15*2)),2)</f>
        <v>0</v>
      </c>
    </row>
    <row r="16" spans="1:21" ht="18.75" customHeight="1">
      <c r="A16" s="231"/>
      <c r="B16" s="83"/>
      <c r="C16" s="55"/>
      <c r="D16" s="56"/>
      <c r="E16" s="57"/>
      <c r="F16" s="58"/>
      <c r="G16" s="87"/>
      <c r="H16" s="91"/>
      <c r="I16" s="56"/>
      <c r="J16" s="58"/>
      <c r="K16" s="58"/>
      <c r="L16" s="58"/>
      <c r="M16" s="58"/>
      <c r="N16" s="95"/>
      <c r="O16" s="83"/>
      <c r="P16" s="59"/>
      <c r="Q16" s="56"/>
      <c r="R16" s="60"/>
      <c r="S16" s="57"/>
      <c r="T16" s="79"/>
    </row>
    <row r="17" spans="1:28" ht="18.75" customHeight="1">
      <c r="A17" s="231"/>
      <c r="B17" s="84" t="s">
        <v>288</v>
      </c>
      <c r="C17" s="61" t="s">
        <v>229</v>
      </c>
      <c r="D17" s="62"/>
      <c r="E17" s="99">
        <v>8.3333333333333329E-2</v>
      </c>
      <c r="F17" s="64" t="s">
        <v>29</v>
      </c>
      <c r="G17" s="88"/>
      <c r="H17" s="92" t="s">
        <v>229</v>
      </c>
      <c r="I17" s="62"/>
      <c r="J17" s="64">
        <f>ROUNDUP(E17*0.75,2)</f>
        <v>6.9999999999999993E-2</v>
      </c>
      <c r="K17" s="64" t="s">
        <v>29</v>
      </c>
      <c r="L17" s="64"/>
      <c r="M17" s="64">
        <f>ROUNDUP((R5*E17)+(R6*J17)+(R7*(E17*2)),2)</f>
        <v>0</v>
      </c>
      <c r="N17" s="96">
        <f>M17</f>
        <v>0</v>
      </c>
      <c r="O17" s="84" t="s">
        <v>237</v>
      </c>
      <c r="P17" s="65" t="s">
        <v>44</v>
      </c>
      <c r="Q17" s="62" t="s">
        <v>27</v>
      </c>
      <c r="R17" s="66">
        <v>5</v>
      </c>
      <c r="S17" s="63">
        <f t="shared" ref="S17:S23" si="1">ROUNDUP(R17*0.75,2)</f>
        <v>3.75</v>
      </c>
      <c r="T17" s="80">
        <f>ROUNDUP((R5*R17)+(R6*S17)+(R7*(R17*2)),2)</f>
        <v>0</v>
      </c>
    </row>
    <row r="18" spans="1:28" ht="18.75" customHeight="1">
      <c r="A18" s="231"/>
      <c r="B18" s="84" t="s">
        <v>289</v>
      </c>
      <c r="C18" s="61" t="s">
        <v>38</v>
      </c>
      <c r="D18" s="62"/>
      <c r="E18" s="63">
        <v>10</v>
      </c>
      <c r="F18" s="64" t="s">
        <v>39</v>
      </c>
      <c r="G18" s="88"/>
      <c r="H18" s="92" t="s">
        <v>38</v>
      </c>
      <c r="I18" s="62"/>
      <c r="J18" s="64">
        <f>ROUNDUP(E18*0.75,2)</f>
        <v>7.5</v>
      </c>
      <c r="K18" s="64" t="s">
        <v>39</v>
      </c>
      <c r="L18" s="64"/>
      <c r="M18" s="64">
        <f>ROUNDUP((R5*E18)+(R6*J18)+(R7*(E18*2)),2)</f>
        <v>0</v>
      </c>
      <c r="N18" s="96">
        <f>ROUND(M18+(M18*6/100),2)</f>
        <v>0</v>
      </c>
      <c r="O18" s="84" t="s">
        <v>238</v>
      </c>
      <c r="P18" s="65" t="s">
        <v>37</v>
      </c>
      <c r="Q18" s="62"/>
      <c r="R18" s="66">
        <v>4</v>
      </c>
      <c r="S18" s="63">
        <f t="shared" si="1"/>
        <v>3</v>
      </c>
      <c r="T18" s="80">
        <f>ROUNDUP((R5*R18)+(R6*S18)+(R7*(R18*2)),2)</f>
        <v>0</v>
      </c>
    </row>
    <row r="19" spans="1:28" ht="18.75" customHeight="1">
      <c r="A19" s="231"/>
      <c r="B19" s="84"/>
      <c r="C19" s="61" t="s">
        <v>106</v>
      </c>
      <c r="D19" s="62"/>
      <c r="E19" s="63">
        <v>5</v>
      </c>
      <c r="F19" s="64" t="s">
        <v>39</v>
      </c>
      <c r="G19" s="88"/>
      <c r="H19" s="92" t="s">
        <v>106</v>
      </c>
      <c r="I19" s="62"/>
      <c r="J19" s="64">
        <f>ROUNDUP(E19*0.75,2)</f>
        <v>3.75</v>
      </c>
      <c r="K19" s="64" t="s">
        <v>39</v>
      </c>
      <c r="L19" s="64"/>
      <c r="M19" s="64">
        <f>ROUNDUP((R5*E19)+(R6*J19)+(R7*(E19*2)),2)</f>
        <v>0</v>
      </c>
      <c r="N19" s="96">
        <f>ROUND(M19+(M19*15/100),2)</f>
        <v>0</v>
      </c>
      <c r="O19" s="100" t="s">
        <v>286</v>
      </c>
      <c r="P19" s="65" t="s">
        <v>90</v>
      </c>
      <c r="Q19" s="62"/>
      <c r="R19" s="66">
        <v>1.5</v>
      </c>
      <c r="S19" s="63">
        <f t="shared" si="1"/>
        <v>1.1300000000000001</v>
      </c>
      <c r="T19" s="80">
        <f>ROUNDUP((R5*R19)+(R6*S19)+(R7*(R19*2)),2)</f>
        <v>0</v>
      </c>
    </row>
    <row r="20" spans="1:28" ht="18.75" customHeight="1">
      <c r="A20" s="231"/>
      <c r="B20" s="84"/>
      <c r="C20" s="61" t="s">
        <v>145</v>
      </c>
      <c r="D20" s="62"/>
      <c r="E20" s="63">
        <v>5</v>
      </c>
      <c r="F20" s="64" t="s">
        <v>39</v>
      </c>
      <c r="G20" s="88"/>
      <c r="H20" s="92" t="s">
        <v>145</v>
      </c>
      <c r="I20" s="62"/>
      <c r="J20" s="64">
        <f>ROUNDUP(E20*0.75,2)</f>
        <v>3.75</v>
      </c>
      <c r="K20" s="64" t="s">
        <v>39</v>
      </c>
      <c r="L20" s="64"/>
      <c r="M20" s="64">
        <f>ROUNDUP((R5*E20)+(R6*J20)+(R7*(E20*2)),2)</f>
        <v>0</v>
      </c>
      <c r="N20" s="96">
        <f>M20</f>
        <v>0</v>
      </c>
      <c r="O20" s="36" t="s">
        <v>287</v>
      </c>
      <c r="P20" s="65" t="s">
        <v>62</v>
      </c>
      <c r="Q20" s="62"/>
      <c r="R20" s="66">
        <v>20</v>
      </c>
      <c r="S20" s="63">
        <f t="shared" si="1"/>
        <v>15</v>
      </c>
      <c r="T20" s="80">
        <f>ROUNDUP((R5*R20)+(R6*S20)+(R7*(R20*2)),2)</f>
        <v>0</v>
      </c>
    </row>
    <row r="21" spans="1:28" ht="18.75" customHeight="1">
      <c r="A21" s="231"/>
      <c r="B21" s="84"/>
      <c r="C21" s="61"/>
      <c r="D21" s="62"/>
      <c r="E21" s="63"/>
      <c r="F21" s="64"/>
      <c r="G21" s="88"/>
      <c r="H21" s="92"/>
      <c r="I21" s="62"/>
      <c r="J21" s="64"/>
      <c r="K21" s="64"/>
      <c r="L21" s="64"/>
      <c r="M21" s="64"/>
      <c r="N21" s="96"/>
      <c r="O21" s="84" t="s">
        <v>284</v>
      </c>
      <c r="P21" s="65" t="s">
        <v>91</v>
      </c>
      <c r="Q21" s="62"/>
      <c r="R21" s="66">
        <v>2</v>
      </c>
      <c r="S21" s="63">
        <f t="shared" si="1"/>
        <v>1.5</v>
      </c>
      <c r="T21" s="80">
        <f>ROUNDUP((R5*R21)+(R6*S21)+(R7*(R21*2)),2)</f>
        <v>0</v>
      </c>
    </row>
    <row r="22" spans="1:28" ht="18.75" customHeight="1">
      <c r="A22" s="231"/>
      <c r="B22" s="84"/>
      <c r="C22" s="61"/>
      <c r="D22" s="62"/>
      <c r="E22" s="63"/>
      <c r="F22" s="64"/>
      <c r="G22" s="88"/>
      <c r="H22" s="92"/>
      <c r="I22" s="62"/>
      <c r="J22" s="64"/>
      <c r="K22" s="64"/>
      <c r="L22" s="64"/>
      <c r="M22" s="64"/>
      <c r="N22" s="96"/>
      <c r="O22" s="84" t="s">
        <v>84</v>
      </c>
      <c r="P22" s="65" t="s">
        <v>58</v>
      </c>
      <c r="Q22" s="62" t="s">
        <v>27</v>
      </c>
      <c r="R22" s="66">
        <v>1</v>
      </c>
      <c r="S22" s="63">
        <f t="shared" si="1"/>
        <v>0.75</v>
      </c>
      <c r="T22" s="80">
        <f>ROUNDUP((R5*R22)+(R6*S22)+(R7*(R22*2)),2)</f>
        <v>0</v>
      </c>
    </row>
    <row r="23" spans="1:28" s="35" customFormat="1" ht="18.75" customHeight="1">
      <c r="A23" s="231"/>
      <c r="B23" s="84"/>
      <c r="C23" s="61"/>
      <c r="D23" s="62"/>
      <c r="E23" s="63"/>
      <c r="F23" s="64"/>
      <c r="G23" s="88"/>
      <c r="H23" s="92"/>
      <c r="I23" s="62"/>
      <c r="J23" s="64"/>
      <c r="K23" s="64"/>
      <c r="L23" s="64"/>
      <c r="M23" s="64"/>
      <c r="N23" s="96"/>
      <c r="O23" s="84" t="s">
        <v>83</v>
      </c>
      <c r="P23" s="65" t="s">
        <v>92</v>
      </c>
      <c r="Q23" s="62"/>
      <c r="R23" s="66">
        <v>1</v>
      </c>
      <c r="S23" s="63">
        <f t="shared" si="1"/>
        <v>0.75</v>
      </c>
      <c r="T23" s="80">
        <f>ROUNDUP((R5*R23)+(R6*S23)+(R7*(R23*2)),2)</f>
        <v>0</v>
      </c>
      <c r="V23" s="102"/>
      <c r="W23" s="102"/>
      <c r="X23" s="102"/>
      <c r="Y23" s="102"/>
      <c r="Z23" s="102"/>
      <c r="AA23" s="102"/>
      <c r="AB23" s="102"/>
    </row>
    <row r="24" spans="1:28" s="35" customFormat="1" ht="18.75" customHeight="1">
      <c r="A24" s="231"/>
      <c r="B24" s="84"/>
      <c r="C24" s="61"/>
      <c r="D24" s="62"/>
      <c r="E24" s="63"/>
      <c r="F24" s="64"/>
      <c r="G24" s="88"/>
      <c r="H24" s="92"/>
      <c r="I24" s="62"/>
      <c r="J24" s="64"/>
      <c r="K24" s="64"/>
      <c r="L24" s="64"/>
      <c r="M24" s="64"/>
      <c r="N24" s="96"/>
      <c r="O24" s="84" t="s">
        <v>32</v>
      </c>
      <c r="P24" s="65"/>
      <c r="Q24" s="62"/>
      <c r="R24" s="66"/>
      <c r="S24" s="63"/>
      <c r="T24" s="80"/>
      <c r="V24" s="102"/>
      <c r="W24" s="102"/>
      <c r="X24" s="102"/>
      <c r="Y24" s="102"/>
      <c r="Z24" s="102"/>
      <c r="AA24" s="102"/>
      <c r="AB24" s="102"/>
    </row>
    <row r="25" spans="1:28" s="35" customFormat="1" ht="18.75" customHeight="1">
      <c r="A25" s="231"/>
      <c r="B25" s="83"/>
      <c r="C25" s="55"/>
      <c r="D25" s="56"/>
      <c r="E25" s="57"/>
      <c r="F25" s="58"/>
      <c r="G25" s="87"/>
      <c r="H25" s="91"/>
      <c r="I25" s="56"/>
      <c r="J25" s="58"/>
      <c r="K25" s="58"/>
      <c r="L25" s="58"/>
      <c r="M25" s="58"/>
      <c r="N25" s="95"/>
      <c r="O25" s="83"/>
      <c r="P25" s="59"/>
      <c r="Q25" s="56"/>
      <c r="R25" s="60"/>
      <c r="S25" s="57"/>
      <c r="T25" s="79"/>
      <c r="V25" s="102"/>
      <c r="W25" s="102"/>
      <c r="X25" s="102"/>
      <c r="Y25" s="102"/>
      <c r="Z25" s="102"/>
      <c r="AA25" s="102"/>
      <c r="AB25" s="102"/>
    </row>
    <row r="26" spans="1:28" s="35" customFormat="1" ht="18.75" customHeight="1">
      <c r="A26" s="231"/>
      <c r="B26" s="84" t="s">
        <v>64</v>
      </c>
      <c r="C26" s="61" t="s">
        <v>66</v>
      </c>
      <c r="D26" s="62"/>
      <c r="E26" s="68">
        <v>0.16666666666666666</v>
      </c>
      <c r="F26" s="64" t="s">
        <v>67</v>
      </c>
      <c r="G26" s="88"/>
      <c r="H26" s="92" t="s">
        <v>66</v>
      </c>
      <c r="I26" s="62"/>
      <c r="J26" s="64">
        <f>ROUNDUP(E26*0.75,2)</f>
        <v>0.13</v>
      </c>
      <c r="K26" s="64" t="s">
        <v>67</v>
      </c>
      <c r="L26" s="64"/>
      <c r="M26" s="64">
        <f>ROUNDUP((R5*E26)+(R6*J26)+(R7*(E26*2)),2)</f>
        <v>0</v>
      </c>
      <c r="N26" s="96">
        <f>M26</f>
        <v>0</v>
      </c>
      <c r="O26" s="84" t="s">
        <v>65</v>
      </c>
      <c r="P26" s="65"/>
      <c r="Q26" s="62"/>
      <c r="R26" s="66"/>
      <c r="S26" s="63"/>
      <c r="T26" s="80"/>
      <c r="V26" s="102"/>
      <c r="W26" s="102"/>
      <c r="X26" s="102"/>
      <c r="Y26" s="102"/>
      <c r="Z26" s="102"/>
      <c r="AA26" s="102"/>
      <c r="AB26" s="102"/>
    </row>
    <row r="27" spans="1:28" s="35" customFormat="1" ht="18.75" customHeight="1" thickBot="1">
      <c r="A27" s="232"/>
      <c r="B27" s="85"/>
      <c r="C27" s="69"/>
      <c r="D27" s="70"/>
      <c r="E27" s="71"/>
      <c r="F27" s="72"/>
      <c r="G27" s="89"/>
      <c r="H27" s="93"/>
      <c r="I27" s="70"/>
      <c r="J27" s="72"/>
      <c r="K27" s="72"/>
      <c r="L27" s="72"/>
      <c r="M27" s="72"/>
      <c r="N27" s="97"/>
      <c r="O27" s="85"/>
      <c r="P27" s="73"/>
      <c r="Q27" s="70"/>
      <c r="R27" s="74"/>
      <c r="S27" s="71"/>
      <c r="T27" s="81"/>
      <c r="V27" s="102"/>
      <c r="W27" s="102"/>
      <c r="X27" s="102"/>
      <c r="Y27" s="102"/>
      <c r="Z27" s="102"/>
      <c r="AA27" s="102"/>
      <c r="AB27" s="102"/>
    </row>
  </sheetData>
  <mergeCells count="5">
    <mergeCell ref="H1:O1"/>
    <mergeCell ref="A2:T2"/>
    <mergeCell ref="Q3:T3"/>
    <mergeCell ref="A8:F8"/>
    <mergeCell ref="A10:A27"/>
  </mergeCells>
  <phoneticPr fontId="19"/>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239</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274</v>
      </c>
      <c r="C10" s="48" t="s">
        <v>87</v>
      </c>
      <c r="D10" s="49"/>
      <c r="E10" s="54">
        <v>10</v>
      </c>
      <c r="F10" s="51" t="s">
        <v>39</v>
      </c>
      <c r="G10" s="86" t="s">
        <v>88</v>
      </c>
      <c r="H10" s="90" t="s">
        <v>87</v>
      </c>
      <c r="I10" s="49"/>
      <c r="J10" s="51">
        <f>ROUNDUP(E10*0.75,2)</f>
        <v>7.5</v>
      </c>
      <c r="K10" s="51" t="s">
        <v>39</v>
      </c>
      <c r="L10" s="51" t="s">
        <v>88</v>
      </c>
      <c r="M10" s="51">
        <f>ROUNDUP((R5*E10)+(R6*J10)+(R7*(E10*2)),2)</f>
        <v>0</v>
      </c>
      <c r="N10" s="94">
        <f>M10</f>
        <v>0</v>
      </c>
      <c r="O10" s="82" t="s">
        <v>211</v>
      </c>
      <c r="P10" s="52" t="s">
        <v>25</v>
      </c>
      <c r="Q10" s="49"/>
      <c r="R10" s="53">
        <v>110</v>
      </c>
      <c r="S10" s="54">
        <f t="shared" ref="S10:S17" si="0">ROUNDUP(R10*0.75,2)</f>
        <v>82.5</v>
      </c>
      <c r="T10" s="78">
        <f>ROUNDUP((R5*R10)+(R6*S10)+(R7*(R10*2)),2)</f>
        <v>0</v>
      </c>
    </row>
    <row r="11" spans="1:21" ht="18.75" customHeight="1">
      <c r="A11" s="231"/>
      <c r="B11" s="84" t="s">
        <v>275</v>
      </c>
      <c r="C11" s="61" t="s">
        <v>38</v>
      </c>
      <c r="D11" s="62"/>
      <c r="E11" s="63">
        <v>20</v>
      </c>
      <c r="F11" s="64" t="s">
        <v>39</v>
      </c>
      <c r="G11" s="88"/>
      <c r="H11" s="92" t="s">
        <v>38</v>
      </c>
      <c r="I11" s="62"/>
      <c r="J11" s="64">
        <f>ROUNDUP(E11*0.75,2)</f>
        <v>15</v>
      </c>
      <c r="K11" s="64" t="s">
        <v>39</v>
      </c>
      <c r="L11" s="64"/>
      <c r="M11" s="64">
        <f>ROUNDUP((R5*E11)+(R6*J11)+(R7*(E11*2)),2)</f>
        <v>0</v>
      </c>
      <c r="N11" s="96">
        <f>ROUND(M11+(M11*6/100),2)</f>
        <v>0</v>
      </c>
      <c r="O11" s="84" t="s">
        <v>212</v>
      </c>
      <c r="P11" s="65" t="s">
        <v>42</v>
      </c>
      <c r="Q11" s="62" t="s">
        <v>43</v>
      </c>
      <c r="R11" s="66">
        <v>2</v>
      </c>
      <c r="S11" s="63">
        <f t="shared" si="0"/>
        <v>1.5</v>
      </c>
      <c r="T11" s="80">
        <f>ROUNDUP((R5*R11)+(R6*S11)+(R7*(R11*2)),2)</f>
        <v>0</v>
      </c>
    </row>
    <row r="12" spans="1:21" ht="18.75" customHeight="1">
      <c r="A12" s="231"/>
      <c r="B12" s="84"/>
      <c r="C12" s="61" t="s">
        <v>194</v>
      </c>
      <c r="D12" s="62"/>
      <c r="E12" s="63">
        <v>5</v>
      </c>
      <c r="F12" s="64" t="s">
        <v>39</v>
      </c>
      <c r="G12" s="88"/>
      <c r="H12" s="92" t="s">
        <v>194</v>
      </c>
      <c r="I12" s="62"/>
      <c r="J12" s="64">
        <f>ROUNDUP(E12*0.75,2)</f>
        <v>3.75</v>
      </c>
      <c r="K12" s="64" t="s">
        <v>39</v>
      </c>
      <c r="L12" s="64"/>
      <c r="M12" s="64">
        <f>ROUNDUP((R5*E12)+(R6*J12)+(R7*(E12*2)),2)</f>
        <v>0</v>
      </c>
      <c r="N12" s="96">
        <f>ROUND(M12+(M12*15/100),2)</f>
        <v>0</v>
      </c>
      <c r="O12" s="84" t="s">
        <v>213</v>
      </c>
      <c r="P12" s="65" t="s">
        <v>36</v>
      </c>
      <c r="Q12" s="62"/>
      <c r="R12" s="66">
        <v>0.1</v>
      </c>
      <c r="S12" s="63">
        <f t="shared" si="0"/>
        <v>0.08</v>
      </c>
      <c r="T12" s="80">
        <f>ROUNDUP((R5*R12)+(R6*S12)+(R7*(R12*2)),2)</f>
        <v>0</v>
      </c>
    </row>
    <row r="13" spans="1:21" ht="18.75" customHeight="1">
      <c r="A13" s="231"/>
      <c r="B13" s="84"/>
      <c r="C13" s="61" t="s">
        <v>70</v>
      </c>
      <c r="D13" s="62" t="s">
        <v>71</v>
      </c>
      <c r="E13" s="63">
        <v>1</v>
      </c>
      <c r="F13" s="64" t="s">
        <v>67</v>
      </c>
      <c r="G13" s="88"/>
      <c r="H13" s="92" t="s">
        <v>70</v>
      </c>
      <c r="I13" s="62" t="s">
        <v>71</v>
      </c>
      <c r="J13" s="64">
        <f>ROUNDUP(E13*0.75,2)</f>
        <v>0.75</v>
      </c>
      <c r="K13" s="64" t="s">
        <v>67</v>
      </c>
      <c r="L13" s="64"/>
      <c r="M13" s="64">
        <f>ROUNDUP((R5*E13)+(R6*J13)+(R7*(E13*2)),2)</f>
        <v>0</v>
      </c>
      <c r="N13" s="96">
        <f>M13</f>
        <v>0</v>
      </c>
      <c r="O13" s="84" t="s">
        <v>214</v>
      </c>
      <c r="P13" s="65" t="s">
        <v>72</v>
      </c>
      <c r="Q13" s="62"/>
      <c r="R13" s="66">
        <v>8</v>
      </c>
      <c r="S13" s="63">
        <f t="shared" si="0"/>
        <v>6</v>
      </c>
      <c r="T13" s="80">
        <f>ROUNDUP((R5*R13)+(R6*S13)+(R7*(R13*2)),2)</f>
        <v>0</v>
      </c>
    </row>
    <row r="14" spans="1:21" ht="18.75" customHeight="1">
      <c r="A14" s="231"/>
      <c r="B14" s="84"/>
      <c r="C14" s="61"/>
      <c r="D14" s="62"/>
      <c r="E14" s="63"/>
      <c r="F14" s="64"/>
      <c r="G14" s="88"/>
      <c r="H14" s="92"/>
      <c r="I14" s="62"/>
      <c r="J14" s="64"/>
      <c r="K14" s="64"/>
      <c r="L14" s="64"/>
      <c r="M14" s="64"/>
      <c r="N14" s="96"/>
      <c r="O14" s="84" t="s">
        <v>215</v>
      </c>
      <c r="P14" s="65" t="s">
        <v>36</v>
      </c>
      <c r="Q14" s="62"/>
      <c r="R14" s="66">
        <v>0.1</v>
      </c>
      <c r="S14" s="63">
        <f t="shared" si="0"/>
        <v>0.08</v>
      </c>
      <c r="T14" s="80">
        <f>ROUNDUP((R5*R14)+(R6*S14)+(R7*(R14*2)),2)</f>
        <v>0</v>
      </c>
    </row>
    <row r="15" spans="1:21" ht="18.75" customHeight="1">
      <c r="A15" s="231"/>
      <c r="B15" s="84"/>
      <c r="C15" s="61"/>
      <c r="D15" s="62"/>
      <c r="E15" s="63"/>
      <c r="F15" s="64"/>
      <c r="G15" s="88"/>
      <c r="H15" s="92"/>
      <c r="I15" s="62"/>
      <c r="J15" s="64"/>
      <c r="K15" s="64"/>
      <c r="L15" s="64"/>
      <c r="M15" s="64"/>
      <c r="N15" s="96"/>
      <c r="O15" s="84" t="s">
        <v>216</v>
      </c>
      <c r="P15" s="65" t="s">
        <v>41</v>
      </c>
      <c r="Q15" s="62"/>
      <c r="R15" s="66">
        <v>0.01</v>
      </c>
      <c r="S15" s="63">
        <f t="shared" si="0"/>
        <v>0.01</v>
      </c>
      <c r="T15" s="80">
        <f>ROUNDUP((R5*R15)+(R6*S15)+(R7*(R15*2)),2)</f>
        <v>0</v>
      </c>
    </row>
    <row r="16" spans="1:21" ht="18.75" customHeight="1">
      <c r="A16" s="231"/>
      <c r="B16" s="84"/>
      <c r="C16" s="61"/>
      <c r="D16" s="62"/>
      <c r="E16" s="63"/>
      <c r="F16" s="64"/>
      <c r="G16" s="88"/>
      <c r="H16" s="92"/>
      <c r="I16" s="62"/>
      <c r="J16" s="64"/>
      <c r="K16" s="64"/>
      <c r="L16" s="64"/>
      <c r="M16" s="64"/>
      <c r="N16" s="96"/>
      <c r="O16" s="84" t="s">
        <v>32</v>
      </c>
      <c r="P16" s="65" t="s">
        <v>37</v>
      </c>
      <c r="Q16" s="62"/>
      <c r="R16" s="66">
        <v>1</v>
      </c>
      <c r="S16" s="63">
        <f t="shared" si="0"/>
        <v>0.75</v>
      </c>
      <c r="T16" s="80">
        <f>ROUNDUP((R5*R16)+(R6*S16)+(R7*(R16*2)),2)</f>
        <v>0</v>
      </c>
    </row>
    <row r="17" spans="1:20" ht="18.75" customHeight="1">
      <c r="A17" s="231"/>
      <c r="B17" s="84"/>
      <c r="C17" s="61"/>
      <c r="D17" s="62"/>
      <c r="E17" s="63"/>
      <c r="F17" s="64"/>
      <c r="G17" s="88"/>
      <c r="H17" s="92"/>
      <c r="I17" s="62"/>
      <c r="J17" s="64"/>
      <c r="K17" s="64"/>
      <c r="L17" s="64"/>
      <c r="M17" s="64"/>
      <c r="N17" s="96"/>
      <c r="O17" s="84"/>
      <c r="P17" s="65" t="s">
        <v>72</v>
      </c>
      <c r="Q17" s="62"/>
      <c r="R17" s="66">
        <v>3</v>
      </c>
      <c r="S17" s="63">
        <f t="shared" si="0"/>
        <v>2.25</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217</v>
      </c>
      <c r="C19" s="61" t="s">
        <v>53</v>
      </c>
      <c r="D19" s="62"/>
      <c r="E19" s="63">
        <v>30</v>
      </c>
      <c r="F19" s="64" t="s">
        <v>39</v>
      </c>
      <c r="G19" s="88"/>
      <c r="H19" s="92" t="s">
        <v>53</v>
      </c>
      <c r="I19" s="62"/>
      <c r="J19" s="64">
        <f>ROUNDUP(E19*0.75,2)</f>
        <v>22.5</v>
      </c>
      <c r="K19" s="64" t="s">
        <v>39</v>
      </c>
      <c r="L19" s="64"/>
      <c r="M19" s="64">
        <f>ROUNDUP((R5*E19)+(R6*J19)+(R7*(E19*2)),2)</f>
        <v>0</v>
      </c>
      <c r="N19" s="96">
        <f>ROUND(M19+(M19*6/100),2)</f>
        <v>0</v>
      </c>
      <c r="O19" s="84" t="s">
        <v>209</v>
      </c>
      <c r="P19" s="65" t="s">
        <v>57</v>
      </c>
      <c r="Q19" s="62"/>
      <c r="R19" s="66">
        <v>1</v>
      </c>
      <c r="S19" s="63">
        <f>ROUNDUP(R19*0.75,2)</f>
        <v>0.75</v>
      </c>
      <c r="T19" s="80">
        <f>ROUNDUP((R5*R19)+(R6*S19)+(R7*(R19*2)),2)</f>
        <v>0</v>
      </c>
    </row>
    <row r="20" spans="1:20" ht="18.75" customHeight="1">
      <c r="A20" s="231"/>
      <c r="B20" s="84"/>
      <c r="C20" s="61" t="s">
        <v>54</v>
      </c>
      <c r="D20" s="62"/>
      <c r="E20" s="63">
        <v>10</v>
      </c>
      <c r="F20" s="64" t="s">
        <v>39</v>
      </c>
      <c r="G20" s="88"/>
      <c r="H20" s="92" t="s">
        <v>54</v>
      </c>
      <c r="I20" s="62"/>
      <c r="J20" s="64">
        <f>ROUNDUP(E20*0.75,2)</f>
        <v>7.5</v>
      </c>
      <c r="K20" s="64" t="s">
        <v>39</v>
      </c>
      <c r="L20" s="64"/>
      <c r="M20" s="64">
        <f>ROUNDUP((R5*E20)+(R6*J20)+(R7*(E20*2)),2)</f>
        <v>0</v>
      </c>
      <c r="N20" s="96">
        <f>ROUND(M20+(M20*10/100),2)</f>
        <v>0</v>
      </c>
      <c r="O20" s="84" t="s">
        <v>171</v>
      </c>
      <c r="P20" s="65" t="s">
        <v>36</v>
      </c>
      <c r="Q20" s="62"/>
      <c r="R20" s="66">
        <v>0.1</v>
      </c>
      <c r="S20" s="63">
        <f>ROUNDUP(R20*0.75,2)</f>
        <v>0.08</v>
      </c>
      <c r="T20" s="80">
        <f>ROUNDUP((R5*R20)+(R6*S20)+(R7*(R20*2)),2)</f>
        <v>0</v>
      </c>
    </row>
    <row r="21" spans="1:20" ht="18.75" customHeight="1">
      <c r="A21" s="231"/>
      <c r="B21" s="84"/>
      <c r="C21" s="61" t="s">
        <v>151</v>
      </c>
      <c r="D21" s="62"/>
      <c r="E21" s="63">
        <v>2</v>
      </c>
      <c r="F21" s="64" t="s">
        <v>39</v>
      </c>
      <c r="G21" s="88"/>
      <c r="H21" s="92" t="s">
        <v>151</v>
      </c>
      <c r="I21" s="62"/>
      <c r="J21" s="64">
        <f>ROUNDUP(E21*0.75,2)</f>
        <v>1.5</v>
      </c>
      <c r="K21" s="64" t="s">
        <v>39</v>
      </c>
      <c r="L21" s="64"/>
      <c r="M21" s="64">
        <f>ROUNDUP((R5*E21)+(R6*J21)+(R7*(E21*2)),2)</f>
        <v>0</v>
      </c>
      <c r="N21" s="96">
        <f>M21</f>
        <v>0</v>
      </c>
      <c r="O21" s="84" t="s">
        <v>32</v>
      </c>
      <c r="P21" s="65" t="s">
        <v>75</v>
      </c>
      <c r="Q21" s="62"/>
      <c r="R21" s="66">
        <v>2</v>
      </c>
      <c r="S21" s="63">
        <f>ROUNDUP(R21*0.75,2)</f>
        <v>1.5</v>
      </c>
      <c r="T21" s="80">
        <f>ROUNDUP((R5*R21)+(R6*S21)+(R7*(R21*2)),2)</f>
        <v>0</v>
      </c>
    </row>
    <row r="22" spans="1:20" ht="18.75" customHeight="1">
      <c r="A22" s="231"/>
      <c r="B22" s="84"/>
      <c r="C22" s="61"/>
      <c r="D22" s="62"/>
      <c r="E22" s="63"/>
      <c r="F22" s="64"/>
      <c r="G22" s="88"/>
      <c r="H22" s="92"/>
      <c r="I22" s="62"/>
      <c r="J22" s="64"/>
      <c r="K22" s="64"/>
      <c r="L22" s="64"/>
      <c r="M22" s="64"/>
      <c r="N22" s="96"/>
      <c r="O22" s="84"/>
      <c r="P22" s="65" t="s">
        <v>37</v>
      </c>
      <c r="Q22" s="62"/>
      <c r="R22" s="66">
        <v>2</v>
      </c>
      <c r="S22" s="63">
        <f>ROUNDUP(R22*0.75,2)</f>
        <v>1.5</v>
      </c>
      <c r="T22" s="80">
        <f>ROUNDUP((R5*R22)+(R6*S22)+(R7*(R22*2)),2)</f>
        <v>0</v>
      </c>
    </row>
    <row r="23" spans="1:20" ht="18.75" customHeight="1">
      <c r="A23" s="231"/>
      <c r="B23" s="83"/>
      <c r="C23" s="55"/>
      <c r="D23" s="56"/>
      <c r="E23" s="57"/>
      <c r="F23" s="58"/>
      <c r="G23" s="87"/>
      <c r="H23" s="91"/>
      <c r="I23" s="56"/>
      <c r="J23" s="58"/>
      <c r="K23" s="58"/>
      <c r="L23" s="58"/>
      <c r="M23" s="58"/>
      <c r="N23" s="95"/>
      <c r="O23" s="83"/>
      <c r="P23" s="59"/>
      <c r="Q23" s="56"/>
      <c r="R23" s="60"/>
      <c r="S23" s="57"/>
      <c r="T23" s="79"/>
    </row>
    <row r="24" spans="1:20" ht="18.75" customHeight="1">
      <c r="A24" s="231"/>
      <c r="B24" s="84" t="s">
        <v>148</v>
      </c>
      <c r="C24" s="61" t="s">
        <v>76</v>
      </c>
      <c r="D24" s="62"/>
      <c r="E24" s="63">
        <v>10</v>
      </c>
      <c r="F24" s="64" t="s">
        <v>39</v>
      </c>
      <c r="G24" s="88"/>
      <c r="H24" s="92" t="s">
        <v>76</v>
      </c>
      <c r="I24" s="62"/>
      <c r="J24" s="64">
        <f>ROUNDUP(E24*0.75,2)</f>
        <v>7.5</v>
      </c>
      <c r="K24" s="64" t="s">
        <v>39</v>
      </c>
      <c r="L24" s="64"/>
      <c r="M24" s="64">
        <f>ROUNDUP((R5*E24)+(R6*J24)+(R7*(E24*2)),2)</f>
        <v>0</v>
      </c>
      <c r="N24" s="96">
        <f>ROUND(M24+(M24*15/100),2)</f>
        <v>0</v>
      </c>
      <c r="O24" s="84" t="s">
        <v>32</v>
      </c>
      <c r="P24" s="65" t="s">
        <v>74</v>
      </c>
      <c r="Q24" s="62"/>
      <c r="R24" s="66">
        <v>100</v>
      </c>
      <c r="S24" s="63">
        <f>ROUNDUP(R24*0.75,2)</f>
        <v>75</v>
      </c>
      <c r="T24" s="80">
        <f>ROUNDUP((R5*R24)+(R6*S24)+(R7*(R24*2)),2)</f>
        <v>0</v>
      </c>
    </row>
    <row r="25" spans="1:20" ht="18.75" customHeight="1">
      <c r="A25" s="231"/>
      <c r="B25" s="84"/>
      <c r="C25" s="61" t="s">
        <v>61</v>
      </c>
      <c r="D25" s="62"/>
      <c r="E25" s="63">
        <v>3</v>
      </c>
      <c r="F25" s="64" t="s">
        <v>39</v>
      </c>
      <c r="G25" s="88"/>
      <c r="H25" s="92" t="s">
        <v>61</v>
      </c>
      <c r="I25" s="62"/>
      <c r="J25" s="64">
        <f>ROUNDUP(E25*0.75,2)</f>
        <v>2.25</v>
      </c>
      <c r="K25" s="64" t="s">
        <v>39</v>
      </c>
      <c r="L25" s="64"/>
      <c r="M25" s="64">
        <f>ROUNDUP((R5*E25)+(R6*J25)+(R7*(E25*2)),2)</f>
        <v>0</v>
      </c>
      <c r="N25" s="96">
        <f>ROUND(M25+(M25*40/100),2)</f>
        <v>0</v>
      </c>
      <c r="O25" s="84"/>
      <c r="P25" s="65" t="s">
        <v>36</v>
      </c>
      <c r="Q25" s="62"/>
      <c r="R25" s="66">
        <v>0.2</v>
      </c>
      <c r="S25" s="63">
        <f>ROUNDUP(R25*0.75,2)</f>
        <v>0.15</v>
      </c>
      <c r="T25" s="80">
        <f>ROUNDUP((R5*R25)+(R6*S25)+(R7*(R25*2)),2)</f>
        <v>0</v>
      </c>
    </row>
    <row r="26" spans="1:20" ht="18.75" customHeight="1">
      <c r="A26" s="231"/>
      <c r="B26" s="84"/>
      <c r="C26" s="61"/>
      <c r="D26" s="62"/>
      <c r="E26" s="63"/>
      <c r="F26" s="64"/>
      <c r="G26" s="88"/>
      <c r="H26" s="92"/>
      <c r="I26" s="62"/>
      <c r="J26" s="64"/>
      <c r="K26" s="64"/>
      <c r="L26" s="64"/>
      <c r="M26" s="64"/>
      <c r="N26" s="96"/>
      <c r="O26" s="84"/>
      <c r="P26" s="65" t="s">
        <v>149</v>
      </c>
      <c r="Q26" s="62" t="s">
        <v>150</v>
      </c>
      <c r="R26" s="66">
        <v>0.6</v>
      </c>
      <c r="S26" s="63">
        <f>ROUNDUP(R26*0.75,2)</f>
        <v>0.45</v>
      </c>
      <c r="T26" s="80">
        <f>ROUNDUP((R5*R26)+(R6*S26)+(R7*(R26*2)),2)</f>
        <v>0</v>
      </c>
    </row>
    <row r="27" spans="1:20" ht="18.75" customHeight="1">
      <c r="A27" s="231"/>
      <c r="B27" s="83"/>
      <c r="C27" s="55"/>
      <c r="D27" s="56"/>
      <c r="E27" s="57"/>
      <c r="F27" s="58"/>
      <c r="G27" s="87"/>
      <c r="H27" s="91"/>
      <c r="I27" s="56"/>
      <c r="J27" s="58"/>
      <c r="K27" s="58"/>
      <c r="L27" s="58"/>
      <c r="M27" s="58"/>
      <c r="N27" s="95"/>
      <c r="O27" s="83"/>
      <c r="P27" s="59"/>
      <c r="Q27" s="56"/>
      <c r="R27" s="60"/>
      <c r="S27" s="57"/>
      <c r="T27" s="79"/>
    </row>
    <row r="28" spans="1:20" ht="18.75" customHeight="1">
      <c r="A28" s="231"/>
      <c r="B28" s="84" t="s">
        <v>172</v>
      </c>
      <c r="C28" s="61" t="s">
        <v>102</v>
      </c>
      <c r="D28" s="62"/>
      <c r="E28" s="75">
        <v>0.125</v>
      </c>
      <c r="F28" s="64" t="s">
        <v>67</v>
      </c>
      <c r="G28" s="88"/>
      <c r="H28" s="92" t="s">
        <v>102</v>
      </c>
      <c r="I28" s="62"/>
      <c r="J28" s="64">
        <f>ROUNDUP(E28*0.75,2)</f>
        <v>9.9999999999999992E-2</v>
      </c>
      <c r="K28" s="64" t="s">
        <v>67</v>
      </c>
      <c r="L28" s="64"/>
      <c r="M28" s="64">
        <f>ROUNDUP((R5*E28)+(R6*J28)+(R7*(E28*2)),2)</f>
        <v>0</v>
      </c>
      <c r="N28" s="96">
        <f>M28</f>
        <v>0</v>
      </c>
      <c r="O28" s="84" t="s">
        <v>65</v>
      </c>
      <c r="P28" s="65"/>
      <c r="Q28" s="62"/>
      <c r="R28" s="66"/>
      <c r="S28" s="63"/>
      <c r="T28" s="80"/>
    </row>
    <row r="29" spans="1:20" ht="18.75" customHeight="1" thickBot="1">
      <c r="A29" s="232"/>
      <c r="B29" s="85"/>
      <c r="C29" s="69"/>
      <c r="D29" s="70"/>
      <c r="E29" s="71"/>
      <c r="F29" s="72"/>
      <c r="G29" s="89"/>
      <c r="H29" s="93"/>
      <c r="I29" s="70"/>
      <c r="J29" s="72"/>
      <c r="K29" s="72"/>
      <c r="L29" s="72"/>
      <c r="M29" s="72"/>
      <c r="N29" s="97"/>
      <c r="O29" s="85"/>
      <c r="P29" s="73"/>
      <c r="Q29" s="70"/>
      <c r="R29" s="74"/>
      <c r="S29" s="71"/>
      <c r="T29" s="81"/>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9" style="102"/>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234" t="s">
        <v>282</v>
      </c>
      <c r="C5" s="234"/>
      <c r="D5" s="3"/>
      <c r="E5" s="6"/>
      <c r="F5" s="2"/>
      <c r="G5" s="2"/>
      <c r="H5" s="2"/>
      <c r="I5" s="3"/>
      <c r="J5" s="2"/>
      <c r="K5" s="7"/>
      <c r="L5" s="7"/>
      <c r="M5" s="7"/>
      <c r="N5" s="9"/>
      <c r="O5" s="2"/>
      <c r="P5" s="14"/>
      <c r="Q5" s="45" t="s">
        <v>6</v>
      </c>
      <c r="R5" s="46"/>
      <c r="S5" s="47"/>
      <c r="T5" s="47"/>
      <c r="U5" s="3"/>
    </row>
    <row r="6" spans="1:21" ht="22.5" customHeight="1">
      <c r="A6" s="5"/>
      <c r="B6" s="234"/>
      <c r="C6" s="234"/>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240</v>
      </c>
      <c r="B8" s="229"/>
      <c r="C8" s="229"/>
      <c r="D8" s="229"/>
      <c r="E8" s="229"/>
      <c r="F8" s="229"/>
      <c r="G8" s="2"/>
      <c r="H8" s="2"/>
      <c r="I8" s="19"/>
      <c r="J8" s="2"/>
      <c r="K8" s="7"/>
      <c r="L8" s="7"/>
      <c r="M8" s="7"/>
      <c r="N8" s="17"/>
      <c r="O8" s="2"/>
      <c r="P8" s="20"/>
      <c r="Q8" s="19"/>
      <c r="R8" s="21"/>
      <c r="S8" s="21"/>
      <c r="T8" s="22"/>
      <c r="U8" s="18"/>
    </row>
    <row r="9" spans="1:21" s="102"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241</v>
      </c>
      <c r="C10" s="48" t="s">
        <v>105</v>
      </c>
      <c r="D10" s="49"/>
      <c r="E10" s="54">
        <v>5</v>
      </c>
      <c r="F10" s="51" t="s">
        <v>39</v>
      </c>
      <c r="G10" s="86"/>
      <c r="H10" s="90" t="s">
        <v>105</v>
      </c>
      <c r="I10" s="49"/>
      <c r="J10" s="51">
        <f>ROUNDUP(E10*0.75,2)</f>
        <v>3.75</v>
      </c>
      <c r="K10" s="51" t="s">
        <v>39</v>
      </c>
      <c r="L10" s="51"/>
      <c r="M10" s="51">
        <f>ROUNDUP((R5*E10)+(R6*J10)+(R7*(E10*2)),2)</f>
        <v>0</v>
      </c>
      <c r="N10" s="94">
        <f>ROUND(M10+(M10*10/100),2)</f>
        <v>0</v>
      </c>
      <c r="O10" s="103" t="s">
        <v>296</v>
      </c>
      <c r="P10" s="52" t="s">
        <v>25</v>
      </c>
      <c r="Q10" s="49"/>
      <c r="R10" s="53">
        <v>110</v>
      </c>
      <c r="S10" s="54">
        <f t="shared" ref="S10:S15" si="0">ROUNDUP(R10*0.75,2)</f>
        <v>82.5</v>
      </c>
      <c r="T10" s="78">
        <f>ROUNDUP((R5*R10)+(R6*S10)+(R7*(R10*2)),2)</f>
        <v>0</v>
      </c>
    </row>
    <row r="11" spans="1:21" ht="18.75" customHeight="1">
      <c r="A11" s="231"/>
      <c r="B11" s="84"/>
      <c r="C11" s="61" t="s">
        <v>137</v>
      </c>
      <c r="D11" s="62"/>
      <c r="E11" s="63">
        <v>5</v>
      </c>
      <c r="F11" s="64" t="s">
        <v>39</v>
      </c>
      <c r="G11" s="88"/>
      <c r="H11" s="92" t="s">
        <v>137</v>
      </c>
      <c r="I11" s="62"/>
      <c r="J11" s="64">
        <f>ROUNDUP(E11*0.75,2)</f>
        <v>3.75</v>
      </c>
      <c r="K11" s="64" t="s">
        <v>39</v>
      </c>
      <c r="L11" s="64"/>
      <c r="M11" s="64">
        <f>ROUNDUP((R5*E11)+(R6*J11)+(R7*(E11*2)),2)</f>
        <v>0</v>
      </c>
      <c r="N11" s="96">
        <f>M11</f>
        <v>0</v>
      </c>
      <c r="O11" s="100" t="s">
        <v>294</v>
      </c>
      <c r="P11" s="65" t="s">
        <v>62</v>
      </c>
      <c r="Q11" s="62"/>
      <c r="R11" s="66">
        <v>15</v>
      </c>
      <c r="S11" s="63">
        <f t="shared" si="0"/>
        <v>11.25</v>
      </c>
      <c r="T11" s="80">
        <f>ROUNDUP((R5*R11)+(R6*S11)+(R7*(R11*2)),2)</f>
        <v>0</v>
      </c>
    </row>
    <row r="12" spans="1:21" ht="18.75" customHeight="1">
      <c r="A12" s="231"/>
      <c r="B12" s="84"/>
      <c r="C12" s="61" t="s">
        <v>89</v>
      </c>
      <c r="D12" s="62"/>
      <c r="E12" s="63">
        <v>5</v>
      </c>
      <c r="F12" s="64" t="s">
        <v>39</v>
      </c>
      <c r="G12" s="88"/>
      <c r="H12" s="92" t="s">
        <v>89</v>
      </c>
      <c r="I12" s="62"/>
      <c r="J12" s="64">
        <f>ROUNDUP(E12*0.75,2)</f>
        <v>3.75</v>
      </c>
      <c r="K12" s="64" t="s">
        <v>39</v>
      </c>
      <c r="L12" s="64"/>
      <c r="M12" s="64">
        <f>ROUNDUP((R5*E12)+(R6*J12)+(R7*(E12*2)),2)</f>
        <v>0</v>
      </c>
      <c r="N12" s="96">
        <f>M12</f>
        <v>0</v>
      </c>
      <c r="O12" s="36" t="s">
        <v>295</v>
      </c>
      <c r="P12" s="65" t="s">
        <v>57</v>
      </c>
      <c r="Q12" s="62"/>
      <c r="R12" s="66">
        <v>0.5</v>
      </c>
      <c r="S12" s="63">
        <f t="shared" si="0"/>
        <v>0.38</v>
      </c>
      <c r="T12" s="80">
        <f>ROUNDUP((R5*R12)+(R6*S12)+(R7*(R12*2)),2)</f>
        <v>0</v>
      </c>
    </row>
    <row r="13" spans="1:21" ht="18.75" customHeight="1">
      <c r="A13" s="231"/>
      <c r="B13" s="84"/>
      <c r="C13" s="61" t="s">
        <v>242</v>
      </c>
      <c r="D13" s="62" t="s">
        <v>27</v>
      </c>
      <c r="E13" s="67">
        <v>0.1</v>
      </c>
      <c r="F13" s="64" t="s">
        <v>29</v>
      </c>
      <c r="G13" s="88"/>
      <c r="H13" s="92" t="s">
        <v>242</v>
      </c>
      <c r="I13" s="62" t="s">
        <v>27</v>
      </c>
      <c r="J13" s="64">
        <f>ROUNDUP(E13*0.75,2)</f>
        <v>0.08</v>
      </c>
      <c r="K13" s="64" t="s">
        <v>29</v>
      </c>
      <c r="L13" s="64"/>
      <c r="M13" s="64">
        <f>ROUNDUP((R5*E13)+(R6*J13)+(R7*(E13*2)),2)</f>
        <v>0</v>
      </c>
      <c r="N13" s="96">
        <f>M13</f>
        <v>0</v>
      </c>
      <c r="O13" s="100" t="s">
        <v>290</v>
      </c>
      <c r="P13" s="65" t="s">
        <v>109</v>
      </c>
      <c r="Q13" s="62"/>
      <c r="R13" s="66">
        <v>1</v>
      </c>
      <c r="S13" s="63">
        <f t="shared" si="0"/>
        <v>0.75</v>
      </c>
      <c r="T13" s="80">
        <f>ROUNDUP((R5*R13)+(R6*S13)+(R7*(R13*2)),2)</f>
        <v>0</v>
      </c>
    </row>
    <row r="14" spans="1:21" ht="18.75" customHeight="1">
      <c r="A14" s="231"/>
      <c r="B14" s="84"/>
      <c r="C14" s="61" t="s">
        <v>131</v>
      </c>
      <c r="D14" s="62" t="s">
        <v>132</v>
      </c>
      <c r="E14" s="63">
        <v>0.5</v>
      </c>
      <c r="F14" s="64" t="s">
        <v>39</v>
      </c>
      <c r="G14" s="88"/>
      <c r="H14" s="92" t="s">
        <v>131</v>
      </c>
      <c r="I14" s="62" t="s">
        <v>132</v>
      </c>
      <c r="J14" s="64">
        <f>ROUNDUP(E14*0.75,2)</f>
        <v>0.38</v>
      </c>
      <c r="K14" s="64" t="s">
        <v>39</v>
      </c>
      <c r="L14" s="64"/>
      <c r="M14" s="64">
        <f>ROUNDUP((R5*E14)+(R6*J14)+(R7*(E14*2)),2)</f>
        <v>0</v>
      </c>
      <c r="N14" s="96">
        <f>M14</f>
        <v>0</v>
      </c>
      <c r="O14" s="36" t="s">
        <v>291</v>
      </c>
      <c r="P14" s="65" t="s">
        <v>58</v>
      </c>
      <c r="Q14" s="62" t="s">
        <v>27</v>
      </c>
      <c r="R14" s="66">
        <v>1</v>
      </c>
      <c r="S14" s="63">
        <f t="shared" si="0"/>
        <v>0.75</v>
      </c>
      <c r="T14" s="80">
        <f>ROUNDUP((R5*R14)+(R6*S14)+(R7*(R14*2)),2)</f>
        <v>0</v>
      </c>
    </row>
    <row r="15" spans="1:21" ht="18.75" customHeight="1">
      <c r="A15" s="231"/>
      <c r="B15" s="84"/>
      <c r="C15" s="61"/>
      <c r="D15" s="62"/>
      <c r="E15" s="63"/>
      <c r="F15" s="64"/>
      <c r="G15" s="88"/>
      <c r="H15" s="92"/>
      <c r="I15" s="62"/>
      <c r="J15" s="64"/>
      <c r="K15" s="64"/>
      <c r="L15" s="64"/>
      <c r="M15" s="64"/>
      <c r="N15" s="96"/>
      <c r="O15" s="36" t="s">
        <v>292</v>
      </c>
      <c r="P15" s="65" t="s">
        <v>58</v>
      </c>
      <c r="Q15" s="62" t="s">
        <v>27</v>
      </c>
      <c r="R15" s="66">
        <v>0.6</v>
      </c>
      <c r="S15" s="63">
        <f t="shared" si="0"/>
        <v>0.45</v>
      </c>
      <c r="T15" s="80">
        <f>ROUNDUP((R5*R15)+(R6*S15)+(R7*(R15*2)),2)</f>
        <v>0</v>
      </c>
    </row>
    <row r="16" spans="1:21" s="102" customFormat="1" ht="18.75" customHeight="1">
      <c r="A16" s="231"/>
      <c r="B16" s="84"/>
      <c r="C16" s="61"/>
      <c r="D16" s="62"/>
      <c r="E16" s="63"/>
      <c r="F16" s="64"/>
      <c r="G16" s="88"/>
      <c r="H16" s="92"/>
      <c r="I16" s="62"/>
      <c r="J16" s="64"/>
      <c r="K16" s="64"/>
      <c r="L16" s="64"/>
      <c r="M16" s="64"/>
      <c r="N16" s="96"/>
      <c r="O16" s="84" t="s">
        <v>224</v>
      </c>
      <c r="P16" s="65"/>
      <c r="Q16" s="62"/>
      <c r="R16" s="66"/>
      <c r="S16" s="63"/>
      <c r="T16" s="80"/>
      <c r="U16" s="35"/>
    </row>
    <row r="17" spans="1:28" s="102" customFormat="1" ht="18.75" customHeight="1">
      <c r="A17" s="231"/>
      <c r="B17" s="84"/>
      <c r="C17" s="61"/>
      <c r="D17" s="62"/>
      <c r="E17" s="63"/>
      <c r="F17" s="64"/>
      <c r="G17" s="88"/>
      <c r="H17" s="92"/>
      <c r="I17" s="62"/>
      <c r="J17" s="64"/>
      <c r="K17" s="64"/>
      <c r="L17" s="64"/>
      <c r="M17" s="64"/>
      <c r="N17" s="96"/>
      <c r="O17" s="84" t="s">
        <v>84</v>
      </c>
      <c r="P17" s="65"/>
      <c r="Q17" s="62"/>
      <c r="R17" s="66"/>
      <c r="S17" s="63"/>
      <c r="T17" s="80"/>
      <c r="U17" s="35"/>
    </row>
    <row r="18" spans="1:28" s="102" customFormat="1" ht="18.75" customHeight="1">
      <c r="A18" s="231"/>
      <c r="B18" s="84"/>
      <c r="C18" s="61"/>
      <c r="D18" s="62"/>
      <c r="E18" s="63"/>
      <c r="F18" s="64"/>
      <c r="G18" s="88"/>
      <c r="H18" s="92"/>
      <c r="I18" s="62"/>
      <c r="J18" s="64"/>
      <c r="K18" s="64"/>
      <c r="L18" s="64"/>
      <c r="M18" s="64"/>
      <c r="N18" s="96"/>
      <c r="O18" s="84" t="s">
        <v>69</v>
      </c>
      <c r="P18" s="65"/>
      <c r="Q18" s="62"/>
      <c r="R18" s="66"/>
      <c r="S18" s="63"/>
      <c r="T18" s="80"/>
      <c r="U18" s="35"/>
    </row>
    <row r="19" spans="1:28" s="35" customFormat="1" ht="18.75" customHeight="1">
      <c r="A19" s="231"/>
      <c r="B19" s="83"/>
      <c r="C19" s="55"/>
      <c r="D19" s="56"/>
      <c r="E19" s="57"/>
      <c r="F19" s="58"/>
      <c r="G19" s="87"/>
      <c r="H19" s="91"/>
      <c r="I19" s="56"/>
      <c r="J19" s="58"/>
      <c r="K19" s="58"/>
      <c r="L19" s="58"/>
      <c r="M19" s="58"/>
      <c r="N19" s="95"/>
      <c r="O19" s="83"/>
      <c r="P19" s="59"/>
      <c r="Q19" s="56"/>
      <c r="R19" s="60"/>
      <c r="S19" s="57"/>
      <c r="T19" s="79"/>
      <c r="V19" s="102"/>
      <c r="W19" s="102"/>
      <c r="X19" s="102"/>
      <c r="Y19" s="102"/>
      <c r="Z19" s="102"/>
      <c r="AA19" s="102"/>
      <c r="AB19" s="102"/>
    </row>
    <row r="20" spans="1:28" s="35" customFormat="1" ht="18.75" customHeight="1">
      <c r="A20" s="231"/>
      <c r="B20" s="84" t="s">
        <v>243</v>
      </c>
      <c r="C20" s="61" t="s">
        <v>38</v>
      </c>
      <c r="D20" s="62"/>
      <c r="E20" s="63">
        <v>10</v>
      </c>
      <c r="F20" s="64" t="s">
        <v>39</v>
      </c>
      <c r="G20" s="88"/>
      <c r="H20" s="92" t="s">
        <v>38</v>
      </c>
      <c r="I20" s="62"/>
      <c r="J20" s="64">
        <f>ROUNDUP(E20*0.75,2)</f>
        <v>7.5</v>
      </c>
      <c r="K20" s="64" t="s">
        <v>39</v>
      </c>
      <c r="L20" s="64"/>
      <c r="M20" s="64">
        <f>ROUNDUP((R5*E20)+(R6*J20)+(R7*(E20*2)),2)</f>
        <v>0</v>
      </c>
      <c r="N20" s="96">
        <f>ROUND(M20+(M20*6/100),2)</f>
        <v>0</v>
      </c>
      <c r="O20" s="84" t="s">
        <v>226</v>
      </c>
      <c r="P20" s="65" t="s">
        <v>37</v>
      </c>
      <c r="Q20" s="62"/>
      <c r="R20" s="66">
        <v>1</v>
      </c>
      <c r="S20" s="63">
        <f>ROUNDUP(R20*0.75,2)</f>
        <v>0.75</v>
      </c>
      <c r="T20" s="80">
        <f>ROUNDUP((R5*R20)+(R6*S20)+(R7*(R20*2)),2)</f>
        <v>0</v>
      </c>
      <c r="V20" s="102"/>
      <c r="W20" s="102"/>
      <c r="X20" s="102"/>
      <c r="Y20" s="102"/>
      <c r="Z20" s="102"/>
      <c r="AA20" s="102"/>
      <c r="AB20" s="102"/>
    </row>
    <row r="21" spans="1:28" s="35" customFormat="1" ht="18.75" customHeight="1">
      <c r="A21" s="231"/>
      <c r="B21" s="84"/>
      <c r="C21" s="61" t="s">
        <v>144</v>
      </c>
      <c r="D21" s="62"/>
      <c r="E21" s="63">
        <v>30</v>
      </c>
      <c r="F21" s="64" t="s">
        <v>39</v>
      </c>
      <c r="G21" s="88"/>
      <c r="H21" s="92" t="s">
        <v>144</v>
      </c>
      <c r="I21" s="62"/>
      <c r="J21" s="64">
        <f>ROUNDUP(E21*0.75,2)</f>
        <v>22.5</v>
      </c>
      <c r="K21" s="64" t="s">
        <v>39</v>
      </c>
      <c r="L21" s="64"/>
      <c r="M21" s="64">
        <f>ROUNDUP((R5*E21)+(R6*J21)+(R7*(E21*2)),2)</f>
        <v>0</v>
      </c>
      <c r="N21" s="96">
        <f>M21</f>
        <v>0</v>
      </c>
      <c r="O21" s="100" t="s">
        <v>293</v>
      </c>
      <c r="P21" s="65" t="s">
        <v>47</v>
      </c>
      <c r="Q21" s="62" t="s">
        <v>27</v>
      </c>
      <c r="R21" s="66">
        <v>5</v>
      </c>
      <c r="S21" s="63">
        <f>ROUNDUP(R21*0.75,2)</f>
        <v>3.75</v>
      </c>
      <c r="T21" s="80">
        <f>ROUNDUP((R5*R21)+(R6*S21)+(R7*(R21*2)),2)</f>
        <v>0</v>
      </c>
      <c r="V21" s="102"/>
      <c r="W21" s="102"/>
      <c r="X21" s="102"/>
      <c r="Y21" s="102"/>
      <c r="Z21" s="102"/>
      <c r="AA21" s="102"/>
      <c r="AB21" s="102"/>
    </row>
    <row r="22" spans="1:28" s="35" customFormat="1" ht="18.75" customHeight="1">
      <c r="A22" s="231"/>
      <c r="B22" s="84"/>
      <c r="C22" s="61" t="s">
        <v>228</v>
      </c>
      <c r="D22" s="62"/>
      <c r="E22" s="67">
        <v>0.1</v>
      </c>
      <c r="F22" s="64" t="s">
        <v>86</v>
      </c>
      <c r="G22" s="88"/>
      <c r="H22" s="92" t="s">
        <v>228</v>
      </c>
      <c r="I22" s="62"/>
      <c r="J22" s="64">
        <f>ROUNDUP(E22*0.75,2)</f>
        <v>0.08</v>
      </c>
      <c r="K22" s="64" t="s">
        <v>86</v>
      </c>
      <c r="L22" s="64"/>
      <c r="M22" s="64">
        <f>ROUNDUP((R5*E22)+(R6*J22)+(R7*(E22*2)),2)</f>
        <v>0</v>
      </c>
      <c r="N22" s="96">
        <f>M22</f>
        <v>0</v>
      </c>
      <c r="O22" s="36" t="s">
        <v>281</v>
      </c>
      <c r="P22" s="65" t="s">
        <v>63</v>
      </c>
      <c r="Q22" s="62"/>
      <c r="R22" s="66">
        <v>2.5</v>
      </c>
      <c r="S22" s="63">
        <f>ROUNDUP(R22*0.75,2)</f>
        <v>1.8800000000000001</v>
      </c>
      <c r="T22" s="80">
        <f>ROUNDUP((R5*R22)+(R6*S22)+(R7*(R22*2)),2)</f>
        <v>0</v>
      </c>
      <c r="V22" s="102"/>
      <c r="W22" s="102"/>
      <c r="X22" s="102"/>
      <c r="Y22" s="102"/>
      <c r="Z22" s="102"/>
      <c r="AA22" s="102"/>
      <c r="AB22" s="102"/>
    </row>
    <row r="23" spans="1:28" s="35" customFormat="1" ht="18.75" customHeight="1">
      <c r="A23" s="231"/>
      <c r="B23" s="84"/>
      <c r="C23" s="61" t="s">
        <v>122</v>
      </c>
      <c r="D23" s="62"/>
      <c r="E23" s="63">
        <v>20</v>
      </c>
      <c r="F23" s="64" t="s">
        <v>39</v>
      </c>
      <c r="G23" s="88"/>
      <c r="H23" s="92" t="s">
        <v>122</v>
      </c>
      <c r="I23" s="62"/>
      <c r="J23" s="64">
        <f>ROUNDUP(E23*0.75,2)</f>
        <v>15</v>
      </c>
      <c r="K23" s="64" t="s">
        <v>39</v>
      </c>
      <c r="L23" s="64"/>
      <c r="M23" s="64">
        <f>ROUNDUP((R5*E23)+(R6*J23)+(R7*(E23*2)),2)</f>
        <v>0</v>
      </c>
      <c r="N23" s="96">
        <f>ROUND(M23+(M23*15/100),2)</f>
        <v>0</v>
      </c>
      <c r="O23" s="84" t="s">
        <v>285</v>
      </c>
      <c r="P23" s="65" t="s">
        <v>91</v>
      </c>
      <c r="Q23" s="62"/>
      <c r="R23" s="66">
        <v>1.5</v>
      </c>
      <c r="S23" s="63">
        <f>ROUNDUP(R23*0.75,2)</f>
        <v>1.1300000000000001</v>
      </c>
      <c r="T23" s="80">
        <f>ROUNDUP((R5*R23)+(R6*S23)+(R7*(R23*2)),2)</f>
        <v>0</v>
      </c>
      <c r="V23" s="102"/>
      <c r="W23" s="102"/>
      <c r="X23" s="102"/>
      <c r="Y23" s="102"/>
      <c r="Z23" s="102"/>
      <c r="AA23" s="102"/>
      <c r="AB23" s="102"/>
    </row>
    <row r="24" spans="1:28" s="35" customFormat="1" ht="18.75" customHeight="1">
      <c r="A24" s="231"/>
      <c r="B24" s="84"/>
      <c r="C24" s="61" t="s">
        <v>173</v>
      </c>
      <c r="D24" s="62"/>
      <c r="E24" s="63">
        <v>10</v>
      </c>
      <c r="F24" s="64" t="s">
        <v>39</v>
      </c>
      <c r="G24" s="88"/>
      <c r="H24" s="92" t="s">
        <v>173</v>
      </c>
      <c r="I24" s="62"/>
      <c r="J24" s="64">
        <f>ROUNDUP(E24*0.75,2)</f>
        <v>7.5</v>
      </c>
      <c r="K24" s="64" t="s">
        <v>39</v>
      </c>
      <c r="L24" s="64"/>
      <c r="M24" s="64">
        <f>ROUNDUP((R5*E24)+(R6*J24)+(R7*(E24*2)),2)</f>
        <v>0</v>
      </c>
      <c r="N24" s="96">
        <f>ROUND(M24+(M24*3/100),2)</f>
        <v>0</v>
      </c>
      <c r="O24" s="84" t="s">
        <v>32</v>
      </c>
      <c r="P24" s="65" t="s">
        <v>37</v>
      </c>
      <c r="Q24" s="62"/>
      <c r="R24" s="66">
        <v>2</v>
      </c>
      <c r="S24" s="63">
        <f>ROUNDUP(R24*0.75,2)</f>
        <v>1.5</v>
      </c>
      <c r="T24" s="80">
        <f>ROUNDUP((R5*R24)+(R6*S24)+(R7*(R24*2)),2)</f>
        <v>0</v>
      </c>
      <c r="V24" s="102"/>
      <c r="W24" s="102"/>
      <c r="X24" s="102"/>
      <c r="Y24" s="102"/>
      <c r="Z24" s="102"/>
      <c r="AA24" s="102"/>
      <c r="AB24" s="102"/>
    </row>
    <row r="25" spans="1:28" s="35" customFormat="1" ht="18.75" customHeight="1">
      <c r="A25" s="231"/>
      <c r="B25" s="83"/>
      <c r="C25" s="55"/>
      <c r="D25" s="56"/>
      <c r="E25" s="57"/>
      <c r="F25" s="58"/>
      <c r="G25" s="87"/>
      <c r="H25" s="91"/>
      <c r="I25" s="56"/>
      <c r="J25" s="58"/>
      <c r="K25" s="58"/>
      <c r="L25" s="58"/>
      <c r="M25" s="58"/>
      <c r="N25" s="95"/>
      <c r="O25" s="83"/>
      <c r="P25" s="59"/>
      <c r="Q25" s="56"/>
      <c r="R25" s="60"/>
      <c r="S25" s="57"/>
      <c r="T25" s="79"/>
      <c r="V25" s="102"/>
      <c r="W25" s="102"/>
      <c r="X25" s="102"/>
      <c r="Y25" s="102"/>
      <c r="Z25" s="102"/>
      <c r="AA25" s="102"/>
      <c r="AB25" s="102"/>
    </row>
    <row r="26" spans="1:28" s="35" customFormat="1" ht="18.75" customHeight="1">
      <c r="A26" s="231"/>
      <c r="B26" s="84" t="s">
        <v>98</v>
      </c>
      <c r="C26" s="61" t="s">
        <v>136</v>
      </c>
      <c r="D26" s="62"/>
      <c r="E26" s="63">
        <v>20</v>
      </c>
      <c r="F26" s="64" t="s">
        <v>39</v>
      </c>
      <c r="G26" s="88"/>
      <c r="H26" s="92" t="s">
        <v>136</v>
      </c>
      <c r="I26" s="62"/>
      <c r="J26" s="64">
        <f>ROUNDUP(E26*0.75,2)</f>
        <v>15</v>
      </c>
      <c r="K26" s="64" t="s">
        <v>39</v>
      </c>
      <c r="L26" s="64"/>
      <c r="M26" s="64">
        <f>ROUNDUP((R5*E26)+(R6*J26)+(R7*(E26*2)),2)</f>
        <v>0</v>
      </c>
      <c r="N26" s="96">
        <f>ROUND(M26+(M26*15/100),2)</f>
        <v>0</v>
      </c>
      <c r="O26" s="84" t="s">
        <v>32</v>
      </c>
      <c r="P26" s="65" t="s">
        <v>62</v>
      </c>
      <c r="Q26" s="62"/>
      <c r="R26" s="66">
        <v>100</v>
      </c>
      <c r="S26" s="63">
        <f>ROUNDUP(R26*0.75,2)</f>
        <v>75</v>
      </c>
      <c r="T26" s="80">
        <f>ROUNDUP((R5*R26)+(R6*S26)+(R7*(R26*2)),2)</f>
        <v>0</v>
      </c>
      <c r="V26" s="102"/>
      <c r="W26" s="102"/>
      <c r="X26" s="102"/>
      <c r="Y26" s="102"/>
      <c r="Z26" s="102"/>
      <c r="AA26" s="102"/>
      <c r="AB26" s="102"/>
    </row>
    <row r="27" spans="1:28" s="35" customFormat="1" ht="18.75" customHeight="1">
      <c r="A27" s="231"/>
      <c r="B27" s="84"/>
      <c r="C27" s="61" t="s">
        <v>70</v>
      </c>
      <c r="D27" s="62" t="s">
        <v>71</v>
      </c>
      <c r="E27" s="75">
        <v>0.125</v>
      </c>
      <c r="F27" s="64" t="s">
        <v>67</v>
      </c>
      <c r="G27" s="88"/>
      <c r="H27" s="92" t="s">
        <v>70</v>
      </c>
      <c r="I27" s="62" t="s">
        <v>71</v>
      </c>
      <c r="J27" s="64">
        <f>ROUNDUP(E27*0.75,2)</f>
        <v>9.9999999999999992E-2</v>
      </c>
      <c r="K27" s="64" t="s">
        <v>67</v>
      </c>
      <c r="L27" s="64"/>
      <c r="M27" s="64">
        <f>ROUNDUP((R5*E27)+(R6*J27)+(R7*(E27*2)),2)</f>
        <v>0</v>
      </c>
      <c r="N27" s="96">
        <f>M27</f>
        <v>0</v>
      </c>
      <c r="O27" s="84"/>
      <c r="P27" s="65" t="s">
        <v>36</v>
      </c>
      <c r="Q27" s="62"/>
      <c r="R27" s="66">
        <v>0.2</v>
      </c>
      <c r="S27" s="63">
        <f>ROUNDUP(R27*0.75,2)</f>
        <v>0.15</v>
      </c>
      <c r="T27" s="80">
        <f>ROUNDUP((R5*R27)+(R6*S27)+(R7*(R27*2)),2)</f>
        <v>0</v>
      </c>
      <c r="V27" s="102"/>
      <c r="W27" s="102"/>
      <c r="X27" s="102"/>
      <c r="Y27" s="102"/>
      <c r="Z27" s="102"/>
      <c r="AA27" s="102"/>
      <c r="AB27" s="102"/>
    </row>
    <row r="28" spans="1:28" s="35" customFormat="1" ht="18.75" customHeight="1">
      <c r="A28" s="231"/>
      <c r="B28" s="84"/>
      <c r="C28" s="61"/>
      <c r="D28" s="62"/>
      <c r="E28" s="63"/>
      <c r="F28" s="64"/>
      <c r="G28" s="88"/>
      <c r="H28" s="92"/>
      <c r="I28" s="62"/>
      <c r="J28" s="64"/>
      <c r="K28" s="64"/>
      <c r="L28" s="64"/>
      <c r="M28" s="64"/>
      <c r="N28" s="96"/>
      <c r="O28" s="84"/>
      <c r="P28" s="65" t="s">
        <v>58</v>
      </c>
      <c r="Q28" s="62" t="s">
        <v>27</v>
      </c>
      <c r="R28" s="66">
        <v>1.5</v>
      </c>
      <c r="S28" s="63">
        <f>ROUNDUP(R28*0.75,2)</f>
        <v>1.1300000000000001</v>
      </c>
      <c r="T28" s="80">
        <f>ROUNDUP((R5*R28)+(R6*S28)+(R7*(R28*2)),2)</f>
        <v>0</v>
      </c>
      <c r="V28" s="102"/>
      <c r="W28" s="102"/>
      <c r="X28" s="102"/>
      <c r="Y28" s="102"/>
      <c r="Z28" s="102"/>
      <c r="AA28" s="102"/>
      <c r="AB28" s="102"/>
    </row>
    <row r="29" spans="1:28" s="35" customFormat="1" ht="18.75" customHeight="1">
      <c r="A29" s="231"/>
      <c r="B29" s="83"/>
      <c r="C29" s="55"/>
      <c r="D29" s="56"/>
      <c r="E29" s="57"/>
      <c r="F29" s="58"/>
      <c r="G29" s="87"/>
      <c r="H29" s="91"/>
      <c r="I29" s="56"/>
      <c r="J29" s="58"/>
      <c r="K29" s="58"/>
      <c r="L29" s="58"/>
      <c r="M29" s="58"/>
      <c r="N29" s="95"/>
      <c r="O29" s="83"/>
      <c r="P29" s="59"/>
      <c r="Q29" s="56"/>
      <c r="R29" s="60"/>
      <c r="S29" s="57"/>
      <c r="T29" s="79"/>
      <c r="V29" s="102"/>
      <c r="W29" s="102"/>
      <c r="X29" s="102"/>
      <c r="Y29" s="102"/>
      <c r="Z29" s="102"/>
      <c r="AA29" s="102"/>
      <c r="AB29" s="102"/>
    </row>
    <row r="30" spans="1:28" s="35" customFormat="1" ht="18.75" customHeight="1">
      <c r="A30" s="231"/>
      <c r="B30" s="84" t="s">
        <v>128</v>
      </c>
      <c r="C30" s="61" t="s">
        <v>129</v>
      </c>
      <c r="D30" s="62"/>
      <c r="E30" s="98">
        <v>0.25</v>
      </c>
      <c r="F30" s="64" t="s">
        <v>130</v>
      </c>
      <c r="G30" s="88"/>
      <c r="H30" s="92" t="s">
        <v>129</v>
      </c>
      <c r="I30" s="62"/>
      <c r="J30" s="64">
        <f>ROUNDUP(E30*0.75,2)</f>
        <v>0.19</v>
      </c>
      <c r="K30" s="64" t="s">
        <v>130</v>
      </c>
      <c r="L30" s="64"/>
      <c r="M30" s="64">
        <f>ROUNDUP((R5*E30)+(R6*J30)+(R7*(E30*2)),2)</f>
        <v>0</v>
      </c>
      <c r="N30" s="96">
        <f>M30</f>
        <v>0</v>
      </c>
      <c r="O30" s="84" t="s">
        <v>65</v>
      </c>
      <c r="P30" s="65"/>
      <c r="Q30" s="62"/>
      <c r="R30" s="66"/>
      <c r="S30" s="63"/>
      <c r="T30" s="80"/>
      <c r="V30" s="102"/>
      <c r="W30" s="102"/>
      <c r="X30" s="102"/>
      <c r="Y30" s="102"/>
      <c r="Z30" s="102"/>
      <c r="AA30" s="102"/>
      <c r="AB30" s="102"/>
    </row>
    <row r="31" spans="1:28" s="35" customFormat="1" ht="18.75" customHeight="1" thickBot="1">
      <c r="A31" s="232"/>
      <c r="B31" s="85"/>
      <c r="C31" s="69"/>
      <c r="D31" s="70"/>
      <c r="E31" s="71"/>
      <c r="F31" s="72"/>
      <c r="G31" s="89"/>
      <c r="H31" s="93"/>
      <c r="I31" s="70"/>
      <c r="J31" s="72"/>
      <c r="K31" s="72"/>
      <c r="L31" s="72"/>
      <c r="M31" s="72"/>
      <c r="N31" s="97"/>
      <c r="O31" s="85"/>
      <c r="P31" s="73"/>
      <c r="Q31" s="70"/>
      <c r="R31" s="74"/>
      <c r="S31" s="71"/>
      <c r="T31" s="81"/>
      <c r="V31" s="102"/>
      <c r="W31" s="102"/>
      <c r="X31" s="102"/>
      <c r="Y31" s="102"/>
      <c r="Z31" s="102"/>
      <c r="AA31" s="102"/>
      <c r="AB31" s="102"/>
    </row>
    <row r="33" spans="16:19" ht="18.75" customHeight="1">
      <c r="P33" s="233" t="s">
        <v>283</v>
      </c>
      <c r="Q33" s="233"/>
      <c r="R33" s="233"/>
      <c r="S33" s="233"/>
    </row>
  </sheetData>
  <mergeCells count="7">
    <mergeCell ref="B5:C6"/>
    <mergeCell ref="P33:S33"/>
    <mergeCell ref="H1:O1"/>
    <mergeCell ref="A2:T2"/>
    <mergeCell ref="Q3:T3"/>
    <mergeCell ref="A8:F8"/>
    <mergeCell ref="A10:A31"/>
  </mergeCells>
  <phoneticPr fontId="19"/>
  <printOptions horizontalCentered="1" verticalCentered="1"/>
  <pageMargins left="0.39370078740157483" right="0.39370078740157483" top="0.39370078740157483" bottom="0.39370078740157483" header="0.39370078740157483" footer="0.39370078740157483"/>
  <pageSetup paperSize="12"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23</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24</v>
      </c>
      <c r="C10" s="48" t="s">
        <v>26</v>
      </c>
      <c r="D10" s="49" t="s">
        <v>28</v>
      </c>
      <c r="E10" s="50">
        <v>0.5</v>
      </c>
      <c r="F10" s="51" t="s">
        <v>29</v>
      </c>
      <c r="G10" s="86"/>
      <c r="H10" s="90" t="s">
        <v>26</v>
      </c>
      <c r="I10" s="49" t="s">
        <v>28</v>
      </c>
      <c r="J10" s="51">
        <f>ROUNDUP(E10*0.75,2)</f>
        <v>0.38</v>
      </c>
      <c r="K10" s="51" t="s">
        <v>29</v>
      </c>
      <c r="L10" s="51"/>
      <c r="M10" s="51">
        <f>ROUNDUP((R5*E10)+(R6*J10)+(R7*(E10*2)),2)</f>
        <v>0</v>
      </c>
      <c r="N10" s="94">
        <f>M10</f>
        <v>0</v>
      </c>
      <c r="O10" s="82"/>
      <c r="P10" s="52" t="s">
        <v>25</v>
      </c>
      <c r="Q10" s="49"/>
      <c r="R10" s="53">
        <v>110</v>
      </c>
      <c r="S10" s="54">
        <f>ROUNDUP(R10*0.75,2)</f>
        <v>82.5</v>
      </c>
      <c r="T10" s="78">
        <f>ROUNDUP((R5*R10)+(R6*S10)+(R7*(R10*2)),2)</f>
        <v>0</v>
      </c>
    </row>
    <row r="11" spans="1:21" ht="18.75" customHeight="1">
      <c r="A11" s="231"/>
      <c r="B11" s="83"/>
      <c r="C11" s="55"/>
      <c r="D11" s="56"/>
      <c r="E11" s="57"/>
      <c r="F11" s="58"/>
      <c r="G11" s="87"/>
      <c r="H11" s="91"/>
      <c r="I11" s="56"/>
      <c r="J11" s="58"/>
      <c r="K11" s="58"/>
      <c r="L11" s="58"/>
      <c r="M11" s="58"/>
      <c r="N11" s="95"/>
      <c r="O11" s="83"/>
      <c r="P11" s="59"/>
      <c r="Q11" s="56"/>
      <c r="R11" s="60"/>
      <c r="S11" s="57"/>
      <c r="T11" s="79"/>
    </row>
    <row r="12" spans="1:21" ht="18.75" customHeight="1">
      <c r="A12" s="231"/>
      <c r="B12" s="84" t="s">
        <v>254</v>
      </c>
      <c r="C12" s="61" t="s">
        <v>33</v>
      </c>
      <c r="D12" s="62"/>
      <c r="E12" s="63">
        <v>1</v>
      </c>
      <c r="F12" s="64" t="s">
        <v>35</v>
      </c>
      <c r="G12" s="88" t="s">
        <v>34</v>
      </c>
      <c r="H12" s="92" t="s">
        <v>33</v>
      </c>
      <c r="I12" s="62"/>
      <c r="J12" s="64">
        <f>ROUNDUP(E12*0.75,2)</f>
        <v>0.75</v>
      </c>
      <c r="K12" s="64" t="s">
        <v>35</v>
      </c>
      <c r="L12" s="64" t="s">
        <v>34</v>
      </c>
      <c r="M12" s="64">
        <f>ROUNDUP((R5*E12)+(R6*J12)+(R7*(E12*2)),2)</f>
        <v>0</v>
      </c>
      <c r="N12" s="96">
        <f>M12</f>
        <v>0</v>
      </c>
      <c r="O12" s="100" t="s">
        <v>246</v>
      </c>
      <c r="P12" s="65" t="s">
        <v>36</v>
      </c>
      <c r="Q12" s="62"/>
      <c r="R12" s="66">
        <v>0.1</v>
      </c>
      <c r="S12" s="63">
        <f t="shared" ref="S12:S19" si="0">ROUNDUP(R12*0.75,2)</f>
        <v>0.08</v>
      </c>
      <c r="T12" s="80">
        <f>ROUNDUP((R5*R12)+(R6*S12)+(R7*(R12*2)),2)</f>
        <v>0</v>
      </c>
    </row>
    <row r="13" spans="1:21" ht="18.75" customHeight="1">
      <c r="A13" s="231"/>
      <c r="B13" s="84" t="s">
        <v>255</v>
      </c>
      <c r="C13" s="61" t="s">
        <v>38</v>
      </c>
      <c r="D13" s="62"/>
      <c r="E13" s="63">
        <v>10</v>
      </c>
      <c r="F13" s="64" t="s">
        <v>39</v>
      </c>
      <c r="G13" s="88"/>
      <c r="H13" s="92" t="s">
        <v>38</v>
      </c>
      <c r="I13" s="62"/>
      <c r="J13" s="64">
        <f>ROUNDUP(E13*0.75,2)</f>
        <v>7.5</v>
      </c>
      <c r="K13" s="64" t="s">
        <v>39</v>
      </c>
      <c r="L13" s="64"/>
      <c r="M13" s="64">
        <f>ROUNDUP((R5*E13)+(R6*J13)+(R7*(E13*2)),2)</f>
        <v>0</v>
      </c>
      <c r="N13" s="96">
        <f>ROUND(M13+(M13*6/100),2)</f>
        <v>0</v>
      </c>
      <c r="O13" s="36" t="s">
        <v>247</v>
      </c>
      <c r="P13" s="65" t="s">
        <v>37</v>
      </c>
      <c r="Q13" s="62"/>
      <c r="R13" s="66">
        <v>2</v>
      </c>
      <c r="S13" s="63">
        <f t="shared" si="0"/>
        <v>1.5</v>
      </c>
      <c r="T13" s="80">
        <f>ROUNDUP((R5*R13)+(R6*S13)+(R7*(R13*2)),2)</f>
        <v>0</v>
      </c>
    </row>
    <row r="14" spans="1:21" ht="18.75" customHeight="1">
      <c r="A14" s="231"/>
      <c r="B14" s="84"/>
      <c r="C14" s="61" t="s">
        <v>40</v>
      </c>
      <c r="D14" s="62"/>
      <c r="E14" s="63">
        <v>10</v>
      </c>
      <c r="F14" s="64" t="s">
        <v>39</v>
      </c>
      <c r="G14" s="88"/>
      <c r="H14" s="92" t="s">
        <v>40</v>
      </c>
      <c r="I14" s="62"/>
      <c r="J14" s="64">
        <f>ROUNDUP(E14*0.75,2)</f>
        <v>7.5</v>
      </c>
      <c r="K14" s="64" t="s">
        <v>39</v>
      </c>
      <c r="L14" s="64"/>
      <c r="M14" s="64">
        <f>ROUNDUP((R5*E14)+(R6*J14)+(R7*(E14*2)),2)</f>
        <v>0</v>
      </c>
      <c r="N14" s="96">
        <f>M14</f>
        <v>0</v>
      </c>
      <c r="O14" s="84" t="s">
        <v>30</v>
      </c>
      <c r="P14" s="65" t="s">
        <v>37</v>
      </c>
      <c r="Q14" s="62"/>
      <c r="R14" s="66">
        <v>1</v>
      </c>
      <c r="S14" s="63">
        <f t="shared" si="0"/>
        <v>0.75</v>
      </c>
      <c r="T14" s="80">
        <f>ROUNDUP((R5*R14)+(R6*S14)+(R7*(R14*2)),2)</f>
        <v>0</v>
      </c>
    </row>
    <row r="15" spans="1:21" ht="18.75" customHeight="1">
      <c r="A15" s="231"/>
      <c r="B15" s="84"/>
      <c r="C15" s="61" t="s">
        <v>45</v>
      </c>
      <c r="D15" s="62" t="s">
        <v>43</v>
      </c>
      <c r="E15" s="63">
        <v>30</v>
      </c>
      <c r="F15" s="64" t="s">
        <v>46</v>
      </c>
      <c r="G15" s="88"/>
      <c r="H15" s="92" t="s">
        <v>45</v>
      </c>
      <c r="I15" s="62" t="s">
        <v>43</v>
      </c>
      <c r="J15" s="64">
        <f>ROUNDUP(E15*0.75,2)</f>
        <v>22.5</v>
      </c>
      <c r="K15" s="64" t="s">
        <v>46</v>
      </c>
      <c r="L15" s="64"/>
      <c r="M15" s="64">
        <f>ROUNDUP((R5*E15)+(R6*J15)+(R7*(E15*2)),2)</f>
        <v>0</v>
      </c>
      <c r="N15" s="96">
        <f>M15</f>
        <v>0</v>
      </c>
      <c r="O15" s="84" t="s">
        <v>248</v>
      </c>
      <c r="P15" s="65" t="s">
        <v>36</v>
      </c>
      <c r="Q15" s="62"/>
      <c r="R15" s="66">
        <v>0.1</v>
      </c>
      <c r="S15" s="63">
        <f t="shared" si="0"/>
        <v>0.08</v>
      </c>
      <c r="T15" s="80">
        <f>ROUNDUP((R5*R15)+(R6*S15)+(R7*(R15*2)),2)</f>
        <v>0</v>
      </c>
    </row>
    <row r="16" spans="1:21" ht="18.75" customHeight="1">
      <c r="A16" s="231"/>
      <c r="B16" s="84"/>
      <c r="C16" s="61"/>
      <c r="D16" s="62"/>
      <c r="E16" s="63"/>
      <c r="F16" s="64"/>
      <c r="G16" s="88"/>
      <c r="H16" s="92"/>
      <c r="I16" s="62"/>
      <c r="J16" s="64"/>
      <c r="K16" s="64"/>
      <c r="L16" s="64"/>
      <c r="M16" s="64"/>
      <c r="N16" s="96"/>
      <c r="O16" s="36" t="s">
        <v>249</v>
      </c>
      <c r="P16" s="65" t="s">
        <v>41</v>
      </c>
      <c r="Q16" s="62"/>
      <c r="R16" s="66">
        <v>0.01</v>
      </c>
      <c r="S16" s="63">
        <f t="shared" si="0"/>
        <v>0.01</v>
      </c>
      <c r="T16" s="80">
        <f>ROUNDUP((R5*R16)+(R6*S16)+(R7*(R16*2)),2)</f>
        <v>0</v>
      </c>
    </row>
    <row r="17" spans="1:20" ht="18.75" customHeight="1">
      <c r="A17" s="231"/>
      <c r="B17" s="84"/>
      <c r="C17" s="61"/>
      <c r="D17" s="62"/>
      <c r="E17" s="63"/>
      <c r="F17" s="64"/>
      <c r="G17" s="88"/>
      <c r="H17" s="92"/>
      <c r="I17" s="62"/>
      <c r="J17" s="64"/>
      <c r="K17" s="64"/>
      <c r="L17" s="64"/>
      <c r="M17" s="64"/>
      <c r="N17" s="96"/>
      <c r="O17" s="84" t="s">
        <v>31</v>
      </c>
      <c r="P17" s="65" t="s">
        <v>42</v>
      </c>
      <c r="Q17" s="62" t="s">
        <v>43</v>
      </c>
      <c r="R17" s="66">
        <v>1</v>
      </c>
      <c r="S17" s="63">
        <f t="shared" si="0"/>
        <v>0.75</v>
      </c>
      <c r="T17" s="80">
        <f>ROUNDUP((R5*R17)+(R6*S17)+(R7*(R17*2)),2)</f>
        <v>0</v>
      </c>
    </row>
    <row r="18" spans="1:20" ht="18.75" customHeight="1">
      <c r="A18" s="231"/>
      <c r="B18" s="84"/>
      <c r="C18" s="61"/>
      <c r="D18" s="62"/>
      <c r="E18" s="63"/>
      <c r="F18" s="64"/>
      <c r="G18" s="88"/>
      <c r="H18" s="92"/>
      <c r="I18" s="62"/>
      <c r="J18" s="64"/>
      <c r="K18" s="64"/>
      <c r="L18" s="64"/>
      <c r="M18" s="64"/>
      <c r="N18" s="96"/>
      <c r="O18" s="100" t="s">
        <v>252</v>
      </c>
      <c r="P18" s="65" t="s">
        <v>44</v>
      </c>
      <c r="Q18" s="62" t="s">
        <v>27</v>
      </c>
      <c r="R18" s="66">
        <v>2</v>
      </c>
      <c r="S18" s="63">
        <f t="shared" si="0"/>
        <v>1.5</v>
      </c>
      <c r="T18" s="80">
        <f>ROUNDUP((R5*R18)+(R6*S18)+(R7*(R18*2)),2)</f>
        <v>0</v>
      </c>
    </row>
    <row r="19" spans="1:20" ht="18.75" customHeight="1">
      <c r="A19" s="231"/>
      <c r="B19" s="84"/>
      <c r="C19" s="61"/>
      <c r="D19" s="62"/>
      <c r="E19" s="63"/>
      <c r="F19" s="64"/>
      <c r="G19" s="88"/>
      <c r="H19" s="92"/>
      <c r="I19" s="62"/>
      <c r="J19" s="64"/>
      <c r="K19" s="64"/>
      <c r="L19" s="64"/>
      <c r="M19" s="64"/>
      <c r="N19" s="96"/>
      <c r="O19" s="101" t="s">
        <v>253</v>
      </c>
      <c r="P19" s="65" t="s">
        <v>47</v>
      </c>
      <c r="Q19" s="62" t="s">
        <v>27</v>
      </c>
      <c r="R19" s="66">
        <v>2</v>
      </c>
      <c r="S19" s="63">
        <f t="shared" si="0"/>
        <v>1.5</v>
      </c>
      <c r="T19" s="80">
        <f>ROUNDUP((R5*R19)+(R6*S19)+(R7*(R19*2)),2)</f>
        <v>0</v>
      </c>
    </row>
    <row r="20" spans="1:20" ht="18.75" customHeight="1">
      <c r="A20" s="231"/>
      <c r="B20" s="84"/>
      <c r="C20" s="61"/>
      <c r="D20" s="62"/>
      <c r="E20" s="63"/>
      <c r="F20" s="64"/>
      <c r="G20" s="88"/>
      <c r="H20" s="92"/>
      <c r="I20" s="62"/>
      <c r="J20" s="64"/>
      <c r="K20" s="64"/>
      <c r="L20" s="64"/>
      <c r="M20" s="64"/>
      <c r="N20" s="96"/>
      <c r="O20" s="100" t="s">
        <v>250</v>
      </c>
      <c r="P20" s="65"/>
      <c r="Q20" s="62"/>
      <c r="R20" s="66"/>
      <c r="S20" s="63"/>
      <c r="T20" s="80"/>
    </row>
    <row r="21" spans="1:20" ht="18.75" customHeight="1">
      <c r="A21" s="231"/>
      <c r="B21" s="84"/>
      <c r="C21" s="61"/>
      <c r="D21" s="62"/>
      <c r="E21" s="63"/>
      <c r="F21" s="64"/>
      <c r="G21" s="88"/>
      <c r="H21" s="92"/>
      <c r="I21" s="62"/>
      <c r="J21" s="64"/>
      <c r="K21" s="64"/>
      <c r="L21" s="64"/>
      <c r="M21" s="64"/>
      <c r="N21" s="96"/>
      <c r="O21" s="84" t="s">
        <v>251</v>
      </c>
      <c r="P21" s="65"/>
      <c r="Q21" s="62"/>
      <c r="R21" s="66"/>
      <c r="S21" s="63"/>
      <c r="T21" s="80"/>
    </row>
    <row r="22" spans="1:20" ht="18.75" customHeight="1">
      <c r="A22" s="231"/>
      <c r="B22" s="84"/>
      <c r="C22" s="61"/>
      <c r="D22" s="62"/>
      <c r="E22" s="63"/>
      <c r="F22" s="64"/>
      <c r="G22" s="88"/>
      <c r="H22" s="92"/>
      <c r="I22" s="62"/>
      <c r="J22" s="64"/>
      <c r="K22" s="64"/>
      <c r="L22" s="64"/>
      <c r="M22" s="64"/>
      <c r="N22" s="96"/>
      <c r="O22" s="84" t="s">
        <v>32</v>
      </c>
      <c r="P22" s="65"/>
      <c r="Q22" s="62"/>
      <c r="R22" s="66"/>
      <c r="S22" s="63"/>
      <c r="T22" s="80"/>
    </row>
    <row r="23" spans="1:20" ht="18.75" customHeight="1">
      <c r="A23" s="231"/>
      <c r="B23" s="83"/>
      <c r="C23" s="55"/>
      <c r="D23" s="56"/>
      <c r="E23" s="57"/>
      <c r="F23" s="58"/>
      <c r="G23" s="87"/>
      <c r="H23" s="91"/>
      <c r="I23" s="56"/>
      <c r="J23" s="58"/>
      <c r="K23" s="58"/>
      <c r="L23" s="58"/>
      <c r="M23" s="58"/>
      <c r="N23" s="95"/>
      <c r="O23" s="83"/>
      <c r="P23" s="59"/>
      <c r="Q23" s="56"/>
      <c r="R23" s="60"/>
      <c r="S23" s="57"/>
      <c r="T23" s="79"/>
    </row>
    <row r="24" spans="1:20" ht="18.75" customHeight="1">
      <c r="A24" s="231"/>
      <c r="B24" s="84" t="s">
        <v>48</v>
      </c>
      <c r="C24" s="61" t="s">
        <v>52</v>
      </c>
      <c r="D24" s="62"/>
      <c r="E24" s="67">
        <v>0.1</v>
      </c>
      <c r="F24" s="64" t="s">
        <v>29</v>
      </c>
      <c r="G24" s="88" t="s">
        <v>34</v>
      </c>
      <c r="H24" s="92" t="s">
        <v>52</v>
      </c>
      <c r="I24" s="62"/>
      <c r="J24" s="64">
        <f>ROUNDUP(E24*0.75,2)</f>
        <v>0.08</v>
      </c>
      <c r="K24" s="64" t="s">
        <v>29</v>
      </c>
      <c r="L24" s="64" t="s">
        <v>34</v>
      </c>
      <c r="M24" s="64">
        <f>ROUNDUP((R5*E24)+(R6*J24)+(R7*(E24*2)),2)</f>
        <v>0</v>
      </c>
      <c r="N24" s="96">
        <f>M24</f>
        <v>0</v>
      </c>
      <c r="O24" s="84" t="s">
        <v>49</v>
      </c>
      <c r="P24" s="65" t="s">
        <v>55</v>
      </c>
      <c r="Q24" s="62" t="s">
        <v>56</v>
      </c>
      <c r="R24" s="66">
        <v>4</v>
      </c>
      <c r="S24" s="63">
        <f>ROUNDUP(R24*0.75,2)</f>
        <v>3</v>
      </c>
      <c r="T24" s="80">
        <f>ROUNDUP((R5*R24)+(R6*S24)+(R7*(R24*2)),2)</f>
        <v>0</v>
      </c>
    </row>
    <row r="25" spans="1:20" ht="18.75" customHeight="1">
      <c r="A25" s="231"/>
      <c r="B25" s="84"/>
      <c r="C25" s="61" t="s">
        <v>53</v>
      </c>
      <c r="D25" s="62"/>
      <c r="E25" s="63">
        <v>30</v>
      </c>
      <c r="F25" s="64" t="s">
        <v>39</v>
      </c>
      <c r="G25" s="88"/>
      <c r="H25" s="92" t="s">
        <v>53</v>
      </c>
      <c r="I25" s="62"/>
      <c r="J25" s="64">
        <f>ROUNDUP(E25*0.75,2)</f>
        <v>22.5</v>
      </c>
      <c r="K25" s="64" t="s">
        <v>39</v>
      </c>
      <c r="L25" s="64"/>
      <c r="M25" s="64">
        <f>ROUNDUP((R5*E25)+(R6*J25)+(R7*(E25*2)),2)</f>
        <v>0</v>
      </c>
      <c r="N25" s="96">
        <f>ROUND(M25+(M25*6/100),2)</f>
        <v>0</v>
      </c>
      <c r="O25" s="84" t="s">
        <v>50</v>
      </c>
      <c r="P25" s="65" t="s">
        <v>57</v>
      </c>
      <c r="Q25" s="62"/>
      <c r="R25" s="66">
        <v>0.3</v>
      </c>
      <c r="S25" s="63">
        <f>ROUNDUP(R25*0.75,2)</f>
        <v>0.23</v>
      </c>
      <c r="T25" s="80">
        <f>ROUNDUP((R5*R25)+(R6*S25)+(R7*(R25*2)),2)</f>
        <v>0</v>
      </c>
    </row>
    <row r="26" spans="1:20" ht="18.75" customHeight="1">
      <c r="A26" s="231"/>
      <c r="B26" s="84"/>
      <c r="C26" s="61" t="s">
        <v>54</v>
      </c>
      <c r="D26" s="62"/>
      <c r="E26" s="63">
        <v>10</v>
      </c>
      <c r="F26" s="64" t="s">
        <v>39</v>
      </c>
      <c r="G26" s="88"/>
      <c r="H26" s="92" t="s">
        <v>54</v>
      </c>
      <c r="I26" s="62"/>
      <c r="J26" s="64">
        <f>ROUNDUP(E26*0.75,2)</f>
        <v>7.5</v>
      </c>
      <c r="K26" s="64" t="s">
        <v>39</v>
      </c>
      <c r="L26" s="64"/>
      <c r="M26" s="64">
        <f>ROUNDUP((R5*E26)+(R6*J26)+(R7*(E26*2)),2)</f>
        <v>0</v>
      </c>
      <c r="N26" s="96">
        <f>ROUND(M26+(M26*10/100),2)</f>
        <v>0</v>
      </c>
      <c r="O26" s="84" t="s">
        <v>51</v>
      </c>
      <c r="P26" s="65" t="s">
        <v>58</v>
      </c>
      <c r="Q26" s="62" t="s">
        <v>27</v>
      </c>
      <c r="R26" s="66">
        <v>0.3</v>
      </c>
      <c r="S26" s="63">
        <f>ROUNDUP(R26*0.75,2)</f>
        <v>0.23</v>
      </c>
      <c r="T26" s="80">
        <f>ROUNDUP((R5*R26)+(R6*S26)+(R7*(R26*2)),2)</f>
        <v>0</v>
      </c>
    </row>
    <row r="27" spans="1:20" ht="18.75" customHeight="1">
      <c r="A27" s="231"/>
      <c r="B27" s="84"/>
      <c r="C27" s="61"/>
      <c r="D27" s="62"/>
      <c r="E27" s="63"/>
      <c r="F27" s="64"/>
      <c r="G27" s="88"/>
      <c r="H27" s="92"/>
      <c r="I27" s="62"/>
      <c r="J27" s="64"/>
      <c r="K27" s="64"/>
      <c r="L27" s="64"/>
      <c r="M27" s="64"/>
      <c r="N27" s="96"/>
      <c r="O27" s="84" t="s">
        <v>32</v>
      </c>
      <c r="P27" s="65"/>
      <c r="Q27" s="62"/>
      <c r="R27" s="66"/>
      <c r="S27" s="63"/>
      <c r="T27" s="80"/>
    </row>
    <row r="28" spans="1:20" ht="18.75" customHeight="1">
      <c r="A28" s="231"/>
      <c r="B28" s="83"/>
      <c r="C28" s="55"/>
      <c r="D28" s="56"/>
      <c r="E28" s="57"/>
      <c r="F28" s="58"/>
      <c r="G28" s="87"/>
      <c r="H28" s="91"/>
      <c r="I28" s="56"/>
      <c r="J28" s="58"/>
      <c r="K28" s="58"/>
      <c r="L28" s="58"/>
      <c r="M28" s="58"/>
      <c r="N28" s="95"/>
      <c r="O28" s="83"/>
      <c r="P28" s="59"/>
      <c r="Q28" s="56"/>
      <c r="R28" s="60"/>
      <c r="S28" s="57"/>
      <c r="T28" s="79"/>
    </row>
    <row r="29" spans="1:20" ht="18.75" customHeight="1">
      <c r="A29" s="231"/>
      <c r="B29" s="84" t="s">
        <v>59</v>
      </c>
      <c r="C29" s="61" t="s">
        <v>60</v>
      </c>
      <c r="D29" s="62"/>
      <c r="E29" s="63">
        <v>5</v>
      </c>
      <c r="F29" s="64" t="s">
        <v>39</v>
      </c>
      <c r="G29" s="88"/>
      <c r="H29" s="92" t="s">
        <v>60</v>
      </c>
      <c r="I29" s="62"/>
      <c r="J29" s="64">
        <f>ROUNDUP(E29*0.75,2)</f>
        <v>3.75</v>
      </c>
      <c r="K29" s="64" t="s">
        <v>39</v>
      </c>
      <c r="L29" s="64"/>
      <c r="M29" s="64">
        <f>ROUNDUP((R5*E29)+(R6*J29)+(R7*(E29*2)),2)</f>
        <v>0</v>
      </c>
      <c r="N29" s="96">
        <f>M29</f>
        <v>0</v>
      </c>
      <c r="O29" s="84" t="s">
        <v>32</v>
      </c>
      <c r="P29" s="65" t="s">
        <v>62</v>
      </c>
      <c r="Q29" s="62"/>
      <c r="R29" s="66">
        <v>100</v>
      </c>
      <c r="S29" s="63">
        <f>ROUNDUP(R29*0.75,2)</f>
        <v>75</v>
      </c>
      <c r="T29" s="80">
        <f>ROUNDUP((R5*R29)+(R6*S29)+(R7*(R29*2)),2)</f>
        <v>0</v>
      </c>
    </row>
    <row r="30" spans="1:20" ht="18.75" customHeight="1">
      <c r="A30" s="231"/>
      <c r="B30" s="84"/>
      <c r="C30" s="61" t="s">
        <v>61</v>
      </c>
      <c r="D30" s="62"/>
      <c r="E30" s="63">
        <v>3</v>
      </c>
      <c r="F30" s="64" t="s">
        <v>39</v>
      </c>
      <c r="G30" s="88"/>
      <c r="H30" s="92" t="s">
        <v>61</v>
      </c>
      <c r="I30" s="62"/>
      <c r="J30" s="64">
        <f>ROUNDUP(E30*0.75,2)</f>
        <v>2.25</v>
      </c>
      <c r="K30" s="64" t="s">
        <v>39</v>
      </c>
      <c r="L30" s="64"/>
      <c r="M30" s="64">
        <f>ROUNDUP((R5*E30)+(R6*J30)+(R7*(E30*2)),2)</f>
        <v>0</v>
      </c>
      <c r="N30" s="96">
        <f>ROUND(M30+(M30*40/100),2)</f>
        <v>0</v>
      </c>
      <c r="O30" s="84"/>
      <c r="P30" s="65" t="s">
        <v>63</v>
      </c>
      <c r="Q30" s="62"/>
      <c r="R30" s="66">
        <v>3</v>
      </c>
      <c r="S30" s="63">
        <f>ROUNDUP(R30*0.75,2)</f>
        <v>2.25</v>
      </c>
      <c r="T30" s="80">
        <f>ROUNDUP((R5*R30)+(R6*S30)+(R7*(R30*2)),2)</f>
        <v>0</v>
      </c>
    </row>
    <row r="31" spans="1:20" ht="18.75" customHeight="1">
      <c r="A31" s="231"/>
      <c r="B31" s="83"/>
      <c r="C31" s="55"/>
      <c r="D31" s="56"/>
      <c r="E31" s="57"/>
      <c r="F31" s="58"/>
      <c r="G31" s="87"/>
      <c r="H31" s="91"/>
      <c r="I31" s="56"/>
      <c r="J31" s="58"/>
      <c r="K31" s="58"/>
      <c r="L31" s="58"/>
      <c r="M31" s="58"/>
      <c r="N31" s="95"/>
      <c r="O31" s="83"/>
      <c r="P31" s="59"/>
      <c r="Q31" s="56"/>
      <c r="R31" s="60"/>
      <c r="S31" s="57"/>
      <c r="T31" s="79"/>
    </row>
    <row r="32" spans="1:20" ht="18.75" customHeight="1">
      <c r="A32" s="231"/>
      <c r="B32" s="84" t="s">
        <v>64</v>
      </c>
      <c r="C32" s="61" t="s">
        <v>66</v>
      </c>
      <c r="D32" s="62"/>
      <c r="E32" s="68">
        <v>0.16666666666666666</v>
      </c>
      <c r="F32" s="64" t="s">
        <v>67</v>
      </c>
      <c r="G32" s="88"/>
      <c r="H32" s="92" t="s">
        <v>66</v>
      </c>
      <c r="I32" s="62"/>
      <c r="J32" s="64">
        <f>ROUNDUP(E32*0.75,2)</f>
        <v>0.13</v>
      </c>
      <c r="K32" s="64" t="s">
        <v>67</v>
      </c>
      <c r="L32" s="64"/>
      <c r="M32" s="64">
        <f>ROUNDUP((R5*E32)+(R6*J32)+(R7*(E32*2)),2)</f>
        <v>0</v>
      </c>
      <c r="N32" s="96">
        <f>M32</f>
        <v>0</v>
      </c>
      <c r="O32" s="84" t="s">
        <v>65</v>
      </c>
      <c r="P32" s="65"/>
      <c r="Q32" s="62"/>
      <c r="R32" s="66"/>
      <c r="S32" s="63"/>
      <c r="T32" s="80"/>
    </row>
    <row r="33" spans="1:20" ht="18.75" customHeight="1" thickBot="1">
      <c r="A33" s="232"/>
      <c r="B33" s="85"/>
      <c r="C33" s="69"/>
      <c r="D33" s="70"/>
      <c r="E33" s="71"/>
      <c r="F33" s="72"/>
      <c r="G33" s="89"/>
      <c r="H33" s="93"/>
      <c r="I33" s="70"/>
      <c r="J33" s="72"/>
      <c r="K33" s="72"/>
      <c r="L33" s="72"/>
      <c r="M33" s="72"/>
      <c r="N33" s="97"/>
      <c r="O33" s="85"/>
      <c r="P33" s="73"/>
      <c r="Q33" s="70"/>
      <c r="R33" s="74"/>
      <c r="S33" s="71"/>
      <c r="T33" s="81"/>
    </row>
  </sheetData>
  <mergeCells count="5">
    <mergeCell ref="H1:O1"/>
    <mergeCell ref="A2:T2"/>
    <mergeCell ref="Q3:T3"/>
    <mergeCell ref="A8:F8"/>
    <mergeCell ref="A10:A33"/>
  </mergeCells>
  <phoneticPr fontId="18"/>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244</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24</v>
      </c>
      <c r="C10" s="48" t="s">
        <v>26</v>
      </c>
      <c r="D10" s="49" t="s">
        <v>28</v>
      </c>
      <c r="E10" s="50">
        <v>0.5</v>
      </c>
      <c r="F10" s="51" t="s">
        <v>29</v>
      </c>
      <c r="G10" s="86"/>
      <c r="H10" s="90" t="s">
        <v>26</v>
      </c>
      <c r="I10" s="49" t="s">
        <v>28</v>
      </c>
      <c r="J10" s="51">
        <f>ROUNDUP(E10*0.75,2)</f>
        <v>0.38</v>
      </c>
      <c r="K10" s="51" t="s">
        <v>29</v>
      </c>
      <c r="L10" s="51"/>
      <c r="M10" s="51">
        <f>ROUNDUP((R5*E10)+(R6*J10)+(R7*(E10*2)),2)</f>
        <v>0</v>
      </c>
      <c r="N10" s="94">
        <f>M10</f>
        <v>0</v>
      </c>
      <c r="O10" s="82"/>
      <c r="P10" s="52" t="s">
        <v>25</v>
      </c>
      <c r="Q10" s="49"/>
      <c r="R10" s="53">
        <v>110</v>
      </c>
      <c r="S10" s="54">
        <f>ROUNDUP(R10*0.75,2)</f>
        <v>82.5</v>
      </c>
      <c r="T10" s="78">
        <f>ROUNDUP((R5*R10)+(R6*S10)+(R7*(R10*2)),2)</f>
        <v>0</v>
      </c>
    </row>
    <row r="11" spans="1:21" ht="18.75" customHeight="1">
      <c r="A11" s="231"/>
      <c r="B11" s="83"/>
      <c r="C11" s="55"/>
      <c r="D11" s="56"/>
      <c r="E11" s="57"/>
      <c r="F11" s="58"/>
      <c r="G11" s="87"/>
      <c r="H11" s="91"/>
      <c r="I11" s="56"/>
      <c r="J11" s="58"/>
      <c r="K11" s="58"/>
      <c r="L11" s="58"/>
      <c r="M11" s="58"/>
      <c r="N11" s="95"/>
      <c r="O11" s="83"/>
      <c r="P11" s="59"/>
      <c r="Q11" s="56"/>
      <c r="R11" s="60"/>
      <c r="S11" s="57"/>
      <c r="T11" s="79"/>
    </row>
    <row r="12" spans="1:21" ht="18.75" customHeight="1">
      <c r="A12" s="231"/>
      <c r="B12" s="84" t="s">
        <v>254</v>
      </c>
      <c r="C12" s="61" t="s">
        <v>33</v>
      </c>
      <c r="D12" s="62"/>
      <c r="E12" s="63">
        <v>1</v>
      </c>
      <c r="F12" s="64" t="s">
        <v>35</v>
      </c>
      <c r="G12" s="88" t="s">
        <v>34</v>
      </c>
      <c r="H12" s="92" t="s">
        <v>33</v>
      </c>
      <c r="I12" s="62"/>
      <c r="J12" s="64">
        <f>ROUNDUP(E12*0.75,2)</f>
        <v>0.75</v>
      </c>
      <c r="K12" s="64" t="s">
        <v>35</v>
      </c>
      <c r="L12" s="64" t="s">
        <v>34</v>
      </c>
      <c r="M12" s="64">
        <f>ROUNDUP((R5*E12)+(R6*J12)+(R7*(E12*2)),2)</f>
        <v>0</v>
      </c>
      <c r="N12" s="96">
        <f>M12</f>
        <v>0</v>
      </c>
      <c r="O12" s="100" t="s">
        <v>246</v>
      </c>
      <c r="P12" s="65" t="s">
        <v>36</v>
      </c>
      <c r="Q12" s="62"/>
      <c r="R12" s="66">
        <v>0.1</v>
      </c>
      <c r="S12" s="63">
        <f t="shared" ref="S12:S19" si="0">ROUNDUP(R12*0.75,2)</f>
        <v>0.08</v>
      </c>
      <c r="T12" s="80">
        <f>ROUNDUP((R5*R12)+(R6*S12)+(R7*(R12*2)),2)</f>
        <v>0</v>
      </c>
    </row>
    <row r="13" spans="1:21" ht="18.75" customHeight="1">
      <c r="A13" s="231"/>
      <c r="B13" s="84" t="s">
        <v>255</v>
      </c>
      <c r="C13" s="61" t="s">
        <v>38</v>
      </c>
      <c r="D13" s="62"/>
      <c r="E13" s="63">
        <v>10</v>
      </c>
      <c r="F13" s="64" t="s">
        <v>39</v>
      </c>
      <c r="G13" s="88"/>
      <c r="H13" s="92" t="s">
        <v>38</v>
      </c>
      <c r="I13" s="62"/>
      <c r="J13" s="64">
        <f>ROUNDUP(E13*0.75,2)</f>
        <v>7.5</v>
      </c>
      <c r="K13" s="64" t="s">
        <v>39</v>
      </c>
      <c r="L13" s="64"/>
      <c r="M13" s="64">
        <f>ROUNDUP((R5*E13)+(R6*J13)+(R7*(E13*2)),2)</f>
        <v>0</v>
      </c>
      <c r="N13" s="96">
        <f>ROUND(M13+(M13*6/100),2)</f>
        <v>0</v>
      </c>
      <c r="O13" s="36" t="s">
        <v>247</v>
      </c>
      <c r="P13" s="65" t="s">
        <v>37</v>
      </c>
      <c r="Q13" s="62"/>
      <c r="R13" s="66">
        <v>2</v>
      </c>
      <c r="S13" s="63">
        <f t="shared" si="0"/>
        <v>1.5</v>
      </c>
      <c r="T13" s="80">
        <f>ROUNDUP((R5*R13)+(R6*S13)+(R7*(R13*2)),2)</f>
        <v>0</v>
      </c>
    </row>
    <row r="14" spans="1:21" ht="18.75" customHeight="1">
      <c r="A14" s="231"/>
      <c r="B14" s="84"/>
      <c r="C14" s="61" t="s">
        <v>40</v>
      </c>
      <c r="D14" s="62"/>
      <c r="E14" s="63">
        <v>10</v>
      </c>
      <c r="F14" s="64" t="s">
        <v>39</v>
      </c>
      <c r="G14" s="88"/>
      <c r="H14" s="92" t="s">
        <v>40</v>
      </c>
      <c r="I14" s="62"/>
      <c r="J14" s="64">
        <f>ROUNDUP(E14*0.75,2)</f>
        <v>7.5</v>
      </c>
      <c r="K14" s="64" t="s">
        <v>39</v>
      </c>
      <c r="L14" s="64"/>
      <c r="M14" s="64">
        <f>ROUNDUP((R5*E14)+(R6*J14)+(R7*(E14*2)),2)</f>
        <v>0</v>
      </c>
      <c r="N14" s="96">
        <f>M14</f>
        <v>0</v>
      </c>
      <c r="O14" s="84" t="s">
        <v>30</v>
      </c>
      <c r="P14" s="65" t="s">
        <v>37</v>
      </c>
      <c r="Q14" s="62"/>
      <c r="R14" s="66">
        <v>1</v>
      </c>
      <c r="S14" s="63">
        <f t="shared" si="0"/>
        <v>0.75</v>
      </c>
      <c r="T14" s="80">
        <f>ROUNDUP((R5*R14)+(R6*S14)+(R7*(R14*2)),2)</f>
        <v>0</v>
      </c>
    </row>
    <row r="15" spans="1:21" ht="18.75" customHeight="1">
      <c r="A15" s="231"/>
      <c r="B15" s="84"/>
      <c r="C15" s="61" t="s">
        <v>45</v>
      </c>
      <c r="D15" s="62" t="s">
        <v>43</v>
      </c>
      <c r="E15" s="63">
        <v>30</v>
      </c>
      <c r="F15" s="64" t="s">
        <v>46</v>
      </c>
      <c r="G15" s="88"/>
      <c r="H15" s="92" t="s">
        <v>45</v>
      </c>
      <c r="I15" s="62" t="s">
        <v>43</v>
      </c>
      <c r="J15" s="64">
        <f>ROUNDUP(E15*0.75,2)</f>
        <v>22.5</v>
      </c>
      <c r="K15" s="64" t="s">
        <v>46</v>
      </c>
      <c r="L15" s="64"/>
      <c r="M15" s="64">
        <f>ROUNDUP((R5*E15)+(R6*J15)+(R7*(E15*2)),2)</f>
        <v>0</v>
      </c>
      <c r="N15" s="96">
        <f>M15</f>
        <v>0</v>
      </c>
      <c r="O15" s="84" t="s">
        <v>248</v>
      </c>
      <c r="P15" s="65" t="s">
        <v>36</v>
      </c>
      <c r="Q15" s="62"/>
      <c r="R15" s="66">
        <v>0.1</v>
      </c>
      <c r="S15" s="63">
        <f t="shared" si="0"/>
        <v>0.08</v>
      </c>
      <c r="T15" s="80">
        <f>ROUNDUP((R5*R15)+(R6*S15)+(R7*(R15*2)),2)</f>
        <v>0</v>
      </c>
    </row>
    <row r="16" spans="1:21" ht="18.75" customHeight="1">
      <c r="A16" s="231"/>
      <c r="B16" s="84"/>
      <c r="C16" s="61"/>
      <c r="D16" s="62"/>
      <c r="E16" s="63"/>
      <c r="F16" s="64"/>
      <c r="G16" s="88"/>
      <c r="H16" s="92"/>
      <c r="I16" s="62"/>
      <c r="J16" s="64"/>
      <c r="K16" s="64"/>
      <c r="L16" s="64"/>
      <c r="M16" s="64"/>
      <c r="N16" s="96"/>
      <c r="O16" s="36" t="s">
        <v>249</v>
      </c>
      <c r="P16" s="65" t="s">
        <v>41</v>
      </c>
      <c r="Q16" s="62"/>
      <c r="R16" s="66">
        <v>0.01</v>
      </c>
      <c r="S16" s="63">
        <f t="shared" si="0"/>
        <v>0.01</v>
      </c>
      <c r="T16" s="80">
        <f>ROUNDUP((R5*R16)+(R6*S16)+(R7*(R16*2)),2)</f>
        <v>0</v>
      </c>
    </row>
    <row r="17" spans="1:20" ht="18.75" customHeight="1">
      <c r="A17" s="231"/>
      <c r="B17" s="84"/>
      <c r="C17" s="61"/>
      <c r="D17" s="62"/>
      <c r="E17" s="63"/>
      <c r="F17" s="64"/>
      <c r="G17" s="88"/>
      <c r="H17" s="92"/>
      <c r="I17" s="62"/>
      <c r="J17" s="64"/>
      <c r="K17" s="64"/>
      <c r="L17" s="64"/>
      <c r="M17" s="64"/>
      <c r="N17" s="96"/>
      <c r="O17" s="84" t="s">
        <v>31</v>
      </c>
      <c r="P17" s="65" t="s">
        <v>42</v>
      </c>
      <c r="Q17" s="62" t="s">
        <v>43</v>
      </c>
      <c r="R17" s="66">
        <v>1</v>
      </c>
      <c r="S17" s="63">
        <f t="shared" si="0"/>
        <v>0.75</v>
      </c>
      <c r="T17" s="80">
        <f>ROUNDUP((R5*R17)+(R6*S17)+(R7*(R17*2)),2)</f>
        <v>0</v>
      </c>
    </row>
    <row r="18" spans="1:20" ht="18.75" customHeight="1">
      <c r="A18" s="231"/>
      <c r="B18" s="84"/>
      <c r="C18" s="61"/>
      <c r="D18" s="62"/>
      <c r="E18" s="63"/>
      <c r="F18" s="64"/>
      <c r="G18" s="88"/>
      <c r="H18" s="92"/>
      <c r="I18" s="62"/>
      <c r="J18" s="64"/>
      <c r="K18" s="64"/>
      <c r="L18" s="64"/>
      <c r="M18" s="64"/>
      <c r="N18" s="96"/>
      <c r="O18" s="100" t="s">
        <v>252</v>
      </c>
      <c r="P18" s="65" t="s">
        <v>44</v>
      </c>
      <c r="Q18" s="62" t="s">
        <v>27</v>
      </c>
      <c r="R18" s="66">
        <v>2</v>
      </c>
      <c r="S18" s="63">
        <f t="shared" si="0"/>
        <v>1.5</v>
      </c>
      <c r="T18" s="80">
        <f>ROUNDUP((R5*R18)+(R6*S18)+(R7*(R18*2)),2)</f>
        <v>0</v>
      </c>
    </row>
    <row r="19" spans="1:20" ht="18.75" customHeight="1">
      <c r="A19" s="231"/>
      <c r="B19" s="84"/>
      <c r="C19" s="61"/>
      <c r="D19" s="62"/>
      <c r="E19" s="63"/>
      <c r="F19" s="64"/>
      <c r="G19" s="88"/>
      <c r="H19" s="92"/>
      <c r="I19" s="62"/>
      <c r="J19" s="64"/>
      <c r="K19" s="64"/>
      <c r="L19" s="64"/>
      <c r="M19" s="64"/>
      <c r="N19" s="96"/>
      <c r="O19" s="101" t="s">
        <v>253</v>
      </c>
      <c r="P19" s="65" t="s">
        <v>47</v>
      </c>
      <c r="Q19" s="62" t="s">
        <v>27</v>
      </c>
      <c r="R19" s="66">
        <v>2</v>
      </c>
      <c r="S19" s="63">
        <f t="shared" si="0"/>
        <v>1.5</v>
      </c>
      <c r="T19" s="80">
        <f>ROUNDUP((R5*R19)+(R6*S19)+(R7*(R19*2)),2)</f>
        <v>0</v>
      </c>
    </row>
    <row r="20" spans="1:20" ht="18.75" customHeight="1">
      <c r="A20" s="231"/>
      <c r="B20" s="84"/>
      <c r="C20" s="61"/>
      <c r="D20" s="62"/>
      <c r="E20" s="63"/>
      <c r="F20" s="64"/>
      <c r="G20" s="88"/>
      <c r="H20" s="92"/>
      <c r="I20" s="62"/>
      <c r="J20" s="64"/>
      <c r="K20" s="64"/>
      <c r="L20" s="64"/>
      <c r="M20" s="64"/>
      <c r="N20" s="96"/>
      <c r="O20" s="100" t="s">
        <v>250</v>
      </c>
      <c r="P20" s="65"/>
      <c r="Q20" s="62"/>
      <c r="R20" s="66"/>
      <c r="S20" s="63"/>
      <c r="T20" s="80"/>
    </row>
    <row r="21" spans="1:20" ht="18.75" customHeight="1">
      <c r="A21" s="231"/>
      <c r="B21" s="84"/>
      <c r="C21" s="61"/>
      <c r="D21" s="62"/>
      <c r="E21" s="63"/>
      <c r="F21" s="64"/>
      <c r="G21" s="88"/>
      <c r="H21" s="92"/>
      <c r="I21" s="62"/>
      <c r="J21" s="64"/>
      <c r="K21" s="64"/>
      <c r="L21" s="64"/>
      <c r="M21" s="64"/>
      <c r="N21" s="96"/>
      <c r="O21" s="84" t="s">
        <v>251</v>
      </c>
      <c r="P21" s="65"/>
      <c r="Q21" s="62"/>
      <c r="R21" s="66"/>
      <c r="S21" s="63"/>
      <c r="T21" s="80"/>
    </row>
    <row r="22" spans="1:20" ht="18.75" customHeight="1">
      <c r="A22" s="231"/>
      <c r="B22" s="84"/>
      <c r="C22" s="61"/>
      <c r="D22" s="62"/>
      <c r="E22" s="63"/>
      <c r="F22" s="64"/>
      <c r="G22" s="88"/>
      <c r="H22" s="92"/>
      <c r="I22" s="62"/>
      <c r="J22" s="64"/>
      <c r="K22" s="64"/>
      <c r="L22" s="64"/>
      <c r="M22" s="64"/>
      <c r="N22" s="96"/>
      <c r="O22" s="84" t="s">
        <v>32</v>
      </c>
      <c r="P22" s="65"/>
      <c r="Q22" s="62"/>
      <c r="R22" s="66"/>
      <c r="S22" s="63"/>
      <c r="T22" s="80"/>
    </row>
    <row r="23" spans="1:20" ht="18.75" customHeight="1">
      <c r="A23" s="231"/>
      <c r="B23" s="83"/>
      <c r="C23" s="55"/>
      <c r="D23" s="56"/>
      <c r="E23" s="57"/>
      <c r="F23" s="58"/>
      <c r="G23" s="87"/>
      <c r="H23" s="91"/>
      <c r="I23" s="56"/>
      <c r="J23" s="58"/>
      <c r="K23" s="58"/>
      <c r="L23" s="58"/>
      <c r="M23" s="58"/>
      <c r="N23" s="95"/>
      <c r="O23" s="83"/>
      <c r="P23" s="59"/>
      <c r="Q23" s="56"/>
      <c r="R23" s="60"/>
      <c r="S23" s="57"/>
      <c r="T23" s="79"/>
    </row>
    <row r="24" spans="1:20" ht="18.75" customHeight="1">
      <c r="A24" s="231"/>
      <c r="B24" s="84" t="s">
        <v>48</v>
      </c>
      <c r="C24" s="61" t="s">
        <v>52</v>
      </c>
      <c r="D24" s="62"/>
      <c r="E24" s="67">
        <v>0.1</v>
      </c>
      <c r="F24" s="64" t="s">
        <v>29</v>
      </c>
      <c r="G24" s="88" t="s">
        <v>34</v>
      </c>
      <c r="H24" s="92" t="s">
        <v>52</v>
      </c>
      <c r="I24" s="62"/>
      <c r="J24" s="64">
        <f>ROUNDUP(E24*0.75,2)</f>
        <v>0.08</v>
      </c>
      <c r="K24" s="64" t="s">
        <v>29</v>
      </c>
      <c r="L24" s="64" t="s">
        <v>34</v>
      </c>
      <c r="M24" s="64">
        <f>ROUNDUP((R5*E24)+(R6*J24)+(R7*(E24*2)),2)</f>
        <v>0</v>
      </c>
      <c r="N24" s="96">
        <f>M24</f>
        <v>0</v>
      </c>
      <c r="O24" s="84" t="s">
        <v>49</v>
      </c>
      <c r="P24" s="65" t="s">
        <v>55</v>
      </c>
      <c r="Q24" s="62" t="s">
        <v>56</v>
      </c>
      <c r="R24" s="66">
        <v>4</v>
      </c>
      <c r="S24" s="63">
        <f>ROUNDUP(R24*0.75,2)</f>
        <v>3</v>
      </c>
      <c r="T24" s="80">
        <f>ROUNDUP((R5*R24)+(R6*S24)+(R7*(R24*2)),2)</f>
        <v>0</v>
      </c>
    </row>
    <row r="25" spans="1:20" ht="18.75" customHeight="1">
      <c r="A25" s="231"/>
      <c r="B25" s="84"/>
      <c r="C25" s="61" t="s">
        <v>53</v>
      </c>
      <c r="D25" s="62"/>
      <c r="E25" s="63">
        <v>30</v>
      </c>
      <c r="F25" s="64" t="s">
        <v>39</v>
      </c>
      <c r="G25" s="88"/>
      <c r="H25" s="92" t="s">
        <v>53</v>
      </c>
      <c r="I25" s="62"/>
      <c r="J25" s="64">
        <f>ROUNDUP(E25*0.75,2)</f>
        <v>22.5</v>
      </c>
      <c r="K25" s="64" t="s">
        <v>39</v>
      </c>
      <c r="L25" s="64"/>
      <c r="M25" s="64">
        <f>ROUNDUP((R5*E25)+(R6*J25)+(R7*(E25*2)),2)</f>
        <v>0</v>
      </c>
      <c r="N25" s="96">
        <f>ROUND(M25+(M25*6/100),2)</f>
        <v>0</v>
      </c>
      <c r="O25" s="84" t="s">
        <v>50</v>
      </c>
      <c r="P25" s="65" t="s">
        <v>57</v>
      </c>
      <c r="Q25" s="62"/>
      <c r="R25" s="66">
        <v>0.3</v>
      </c>
      <c r="S25" s="63">
        <f>ROUNDUP(R25*0.75,2)</f>
        <v>0.23</v>
      </c>
      <c r="T25" s="80">
        <f>ROUNDUP((R5*R25)+(R6*S25)+(R7*(R25*2)),2)</f>
        <v>0</v>
      </c>
    </row>
    <row r="26" spans="1:20" ht="18.75" customHeight="1">
      <c r="A26" s="231"/>
      <c r="B26" s="84"/>
      <c r="C26" s="61" t="s">
        <v>54</v>
      </c>
      <c r="D26" s="62"/>
      <c r="E26" s="63">
        <v>10</v>
      </c>
      <c r="F26" s="64" t="s">
        <v>39</v>
      </c>
      <c r="G26" s="88"/>
      <c r="H26" s="92" t="s">
        <v>54</v>
      </c>
      <c r="I26" s="62"/>
      <c r="J26" s="64">
        <f>ROUNDUP(E26*0.75,2)</f>
        <v>7.5</v>
      </c>
      <c r="K26" s="64" t="s">
        <v>39</v>
      </c>
      <c r="L26" s="64"/>
      <c r="M26" s="64">
        <f>ROUNDUP((R5*E26)+(R6*J26)+(R7*(E26*2)),2)</f>
        <v>0</v>
      </c>
      <c r="N26" s="96">
        <f>ROUND(M26+(M26*10/100),2)</f>
        <v>0</v>
      </c>
      <c r="O26" s="84" t="s">
        <v>51</v>
      </c>
      <c r="P26" s="65" t="s">
        <v>58</v>
      </c>
      <c r="Q26" s="62" t="s">
        <v>27</v>
      </c>
      <c r="R26" s="66">
        <v>0.3</v>
      </c>
      <c r="S26" s="63">
        <f>ROUNDUP(R26*0.75,2)</f>
        <v>0.23</v>
      </c>
      <c r="T26" s="80">
        <f>ROUNDUP((R5*R26)+(R6*S26)+(R7*(R26*2)),2)</f>
        <v>0</v>
      </c>
    </row>
    <row r="27" spans="1:20" ht="18.75" customHeight="1">
      <c r="A27" s="231"/>
      <c r="B27" s="84"/>
      <c r="C27" s="61"/>
      <c r="D27" s="62"/>
      <c r="E27" s="63"/>
      <c r="F27" s="64"/>
      <c r="G27" s="88"/>
      <c r="H27" s="92"/>
      <c r="I27" s="62"/>
      <c r="J27" s="64"/>
      <c r="K27" s="64"/>
      <c r="L27" s="64"/>
      <c r="M27" s="64"/>
      <c r="N27" s="96"/>
      <c r="O27" s="84" t="s">
        <v>32</v>
      </c>
      <c r="P27" s="65"/>
      <c r="Q27" s="62"/>
      <c r="R27" s="66"/>
      <c r="S27" s="63"/>
      <c r="T27" s="80"/>
    </row>
    <row r="28" spans="1:20" ht="18.75" customHeight="1">
      <c r="A28" s="231"/>
      <c r="B28" s="83"/>
      <c r="C28" s="55"/>
      <c r="D28" s="56"/>
      <c r="E28" s="57"/>
      <c r="F28" s="58"/>
      <c r="G28" s="87"/>
      <c r="H28" s="91"/>
      <c r="I28" s="56"/>
      <c r="J28" s="58"/>
      <c r="K28" s="58"/>
      <c r="L28" s="58"/>
      <c r="M28" s="58"/>
      <c r="N28" s="95"/>
      <c r="O28" s="83"/>
      <c r="P28" s="59"/>
      <c r="Q28" s="56"/>
      <c r="R28" s="60"/>
      <c r="S28" s="57"/>
      <c r="T28" s="79"/>
    </row>
    <row r="29" spans="1:20" ht="18.75" customHeight="1">
      <c r="A29" s="231"/>
      <c r="B29" s="84" t="s">
        <v>59</v>
      </c>
      <c r="C29" s="61" t="s">
        <v>60</v>
      </c>
      <c r="D29" s="62"/>
      <c r="E29" s="63">
        <v>5</v>
      </c>
      <c r="F29" s="64" t="s">
        <v>39</v>
      </c>
      <c r="G29" s="88"/>
      <c r="H29" s="92" t="s">
        <v>60</v>
      </c>
      <c r="I29" s="62"/>
      <c r="J29" s="64">
        <f>ROUNDUP(E29*0.75,2)</f>
        <v>3.75</v>
      </c>
      <c r="K29" s="64" t="s">
        <v>39</v>
      </c>
      <c r="L29" s="64"/>
      <c r="M29" s="64">
        <f>ROUNDUP((R5*E29)+(R6*J29)+(R7*(E29*2)),2)</f>
        <v>0</v>
      </c>
      <c r="N29" s="96">
        <f>M29</f>
        <v>0</v>
      </c>
      <c r="O29" s="84" t="s">
        <v>32</v>
      </c>
      <c r="P29" s="65" t="s">
        <v>62</v>
      </c>
      <c r="Q29" s="62"/>
      <c r="R29" s="66">
        <v>100</v>
      </c>
      <c r="S29" s="63">
        <f>ROUNDUP(R29*0.75,2)</f>
        <v>75</v>
      </c>
      <c r="T29" s="80">
        <f>ROUNDUP((R5*R29)+(R6*S29)+(R7*(R29*2)),2)</f>
        <v>0</v>
      </c>
    </row>
    <row r="30" spans="1:20" ht="18.75" customHeight="1">
      <c r="A30" s="231"/>
      <c r="B30" s="84"/>
      <c r="C30" s="61" t="s">
        <v>61</v>
      </c>
      <c r="D30" s="62"/>
      <c r="E30" s="63">
        <v>3</v>
      </c>
      <c r="F30" s="64" t="s">
        <v>39</v>
      </c>
      <c r="G30" s="88"/>
      <c r="H30" s="92" t="s">
        <v>61</v>
      </c>
      <c r="I30" s="62"/>
      <c r="J30" s="64">
        <f>ROUNDUP(E30*0.75,2)</f>
        <v>2.25</v>
      </c>
      <c r="K30" s="64" t="s">
        <v>39</v>
      </c>
      <c r="L30" s="64"/>
      <c r="M30" s="64">
        <f>ROUNDUP((R5*E30)+(R6*J30)+(R7*(E30*2)),2)</f>
        <v>0</v>
      </c>
      <c r="N30" s="96">
        <f>ROUND(M30+(M30*40/100),2)</f>
        <v>0</v>
      </c>
      <c r="O30" s="84"/>
      <c r="P30" s="65" t="s">
        <v>63</v>
      </c>
      <c r="Q30" s="62"/>
      <c r="R30" s="66">
        <v>3</v>
      </c>
      <c r="S30" s="63">
        <f>ROUNDUP(R30*0.75,2)</f>
        <v>2.25</v>
      </c>
      <c r="T30" s="80">
        <f>ROUNDUP((R5*R30)+(R6*S30)+(R7*(R30*2)),2)</f>
        <v>0</v>
      </c>
    </row>
    <row r="31" spans="1:20" ht="18.75" customHeight="1">
      <c r="A31" s="231"/>
      <c r="B31" s="83"/>
      <c r="C31" s="55"/>
      <c r="D31" s="56"/>
      <c r="E31" s="57"/>
      <c r="F31" s="58"/>
      <c r="G31" s="87"/>
      <c r="H31" s="91"/>
      <c r="I31" s="56"/>
      <c r="J31" s="58"/>
      <c r="K31" s="58"/>
      <c r="L31" s="58"/>
      <c r="M31" s="58"/>
      <c r="N31" s="95"/>
      <c r="O31" s="83"/>
      <c r="P31" s="59"/>
      <c r="Q31" s="56"/>
      <c r="R31" s="60"/>
      <c r="S31" s="57"/>
      <c r="T31" s="79"/>
    </row>
    <row r="32" spans="1:20" ht="18.75" customHeight="1">
      <c r="A32" s="231"/>
      <c r="B32" s="84" t="s">
        <v>64</v>
      </c>
      <c r="C32" s="61" t="s">
        <v>66</v>
      </c>
      <c r="D32" s="62"/>
      <c r="E32" s="68">
        <v>0.16666666666666666</v>
      </c>
      <c r="F32" s="64" t="s">
        <v>67</v>
      </c>
      <c r="G32" s="88"/>
      <c r="H32" s="92" t="s">
        <v>66</v>
      </c>
      <c r="I32" s="62"/>
      <c r="J32" s="64">
        <f>ROUNDUP(E32*0.75,2)</f>
        <v>0.13</v>
      </c>
      <c r="K32" s="64" t="s">
        <v>67</v>
      </c>
      <c r="L32" s="64"/>
      <c r="M32" s="64">
        <f>ROUNDUP((R5*E32)+(R6*J32)+(R7*(E32*2)),2)</f>
        <v>0</v>
      </c>
      <c r="N32" s="96">
        <f>M32</f>
        <v>0</v>
      </c>
      <c r="O32" s="84" t="s">
        <v>65</v>
      </c>
      <c r="P32" s="65"/>
      <c r="Q32" s="62"/>
      <c r="R32" s="66"/>
      <c r="S32" s="63"/>
      <c r="T32" s="80"/>
    </row>
    <row r="33" spans="1:20" ht="18.75" customHeight="1" thickBot="1">
      <c r="A33" s="232"/>
      <c r="B33" s="85"/>
      <c r="C33" s="69"/>
      <c r="D33" s="70"/>
      <c r="E33" s="71"/>
      <c r="F33" s="72"/>
      <c r="G33" s="89"/>
      <c r="H33" s="93"/>
      <c r="I33" s="70"/>
      <c r="J33" s="72"/>
      <c r="K33" s="72"/>
      <c r="L33" s="72"/>
      <c r="M33" s="72"/>
      <c r="N33" s="97"/>
      <c r="O33" s="85"/>
      <c r="P33" s="73"/>
      <c r="Q33" s="70"/>
      <c r="R33" s="74"/>
      <c r="S33" s="71"/>
      <c r="T33" s="81"/>
    </row>
  </sheetData>
  <mergeCells count="5">
    <mergeCell ref="H1:O1"/>
    <mergeCell ref="A2:T2"/>
    <mergeCell ref="Q3:T3"/>
    <mergeCell ref="A8:F8"/>
    <mergeCell ref="A10:A33"/>
  </mergeCells>
  <phoneticPr fontId="18"/>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245</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25</v>
      </c>
      <c r="C10" s="48"/>
      <c r="D10" s="49"/>
      <c r="E10" s="54"/>
      <c r="F10" s="51"/>
      <c r="G10" s="86"/>
      <c r="H10" s="90"/>
      <c r="I10" s="49"/>
      <c r="J10" s="51"/>
      <c r="K10" s="51"/>
      <c r="L10" s="51"/>
      <c r="M10" s="51"/>
      <c r="N10" s="94"/>
      <c r="O10" s="82"/>
      <c r="P10" s="52" t="s">
        <v>25</v>
      </c>
      <c r="Q10" s="49"/>
      <c r="R10" s="53">
        <v>110</v>
      </c>
      <c r="S10" s="54">
        <f>ROUNDUP(R10*0.75,2)</f>
        <v>82.5</v>
      </c>
      <c r="T10" s="78">
        <f>ROUNDUP((R5*R10)+(R6*S10)+(R7*(R10*2)),2)</f>
        <v>0</v>
      </c>
    </row>
    <row r="11" spans="1:21" ht="18.75" customHeight="1">
      <c r="A11" s="231"/>
      <c r="B11" s="83"/>
      <c r="C11" s="55"/>
      <c r="D11" s="56"/>
      <c r="E11" s="57"/>
      <c r="F11" s="58"/>
      <c r="G11" s="87"/>
      <c r="H11" s="91"/>
      <c r="I11" s="56"/>
      <c r="J11" s="58"/>
      <c r="K11" s="58"/>
      <c r="L11" s="58"/>
      <c r="M11" s="58"/>
      <c r="N11" s="95"/>
      <c r="O11" s="83"/>
      <c r="P11" s="59"/>
      <c r="Q11" s="56"/>
      <c r="R11" s="60"/>
      <c r="S11" s="57"/>
      <c r="T11" s="79"/>
    </row>
    <row r="12" spans="1:21" ht="18.75" customHeight="1">
      <c r="A12" s="231"/>
      <c r="B12" s="84" t="s">
        <v>79</v>
      </c>
      <c r="C12" s="61" t="s">
        <v>85</v>
      </c>
      <c r="D12" s="62"/>
      <c r="E12" s="76">
        <v>0.33333333333333331</v>
      </c>
      <c r="F12" s="64" t="s">
        <v>86</v>
      </c>
      <c r="G12" s="88"/>
      <c r="H12" s="92" t="s">
        <v>85</v>
      </c>
      <c r="I12" s="62"/>
      <c r="J12" s="64">
        <f>ROUNDUP(E12*0.75,2)</f>
        <v>0.25</v>
      </c>
      <c r="K12" s="64" t="s">
        <v>86</v>
      </c>
      <c r="L12" s="64"/>
      <c r="M12" s="64">
        <f>ROUNDUP((R5*E12)+(R6*J12)+(R7*(E12*2)),2)</f>
        <v>0</v>
      </c>
      <c r="N12" s="96">
        <f>M12</f>
        <v>0</v>
      </c>
      <c r="O12" s="84" t="s">
        <v>80</v>
      </c>
      <c r="P12" s="65" t="s">
        <v>90</v>
      </c>
      <c r="Q12" s="62"/>
      <c r="R12" s="66">
        <v>2</v>
      </c>
      <c r="S12" s="63">
        <f t="shared" ref="S12:S17" si="0">ROUNDUP(R12*0.75,2)</f>
        <v>1.5</v>
      </c>
      <c r="T12" s="80">
        <f>ROUNDUP((R5*R12)+(R6*S12)+(R7*(R12*2)),2)</f>
        <v>0</v>
      </c>
    </row>
    <row r="13" spans="1:21" ht="18.75" customHeight="1">
      <c r="A13" s="231"/>
      <c r="B13" s="84"/>
      <c r="C13" s="61" t="s">
        <v>87</v>
      </c>
      <c r="D13" s="62"/>
      <c r="E13" s="63">
        <v>20</v>
      </c>
      <c r="F13" s="64" t="s">
        <v>39</v>
      </c>
      <c r="G13" s="88" t="s">
        <v>88</v>
      </c>
      <c r="H13" s="92" t="s">
        <v>87</v>
      </c>
      <c r="I13" s="62"/>
      <c r="J13" s="64">
        <f>ROUNDUP(E13*0.75,2)</f>
        <v>15</v>
      </c>
      <c r="K13" s="64" t="s">
        <v>39</v>
      </c>
      <c r="L13" s="64" t="s">
        <v>88</v>
      </c>
      <c r="M13" s="64">
        <f>ROUNDUP((R5*E13)+(R6*J13)+(R7*(E13*2)),2)</f>
        <v>0</v>
      </c>
      <c r="N13" s="96">
        <f>M13</f>
        <v>0</v>
      </c>
      <c r="O13" s="84" t="s">
        <v>81</v>
      </c>
      <c r="P13" s="65" t="s">
        <v>62</v>
      </c>
      <c r="Q13" s="62"/>
      <c r="R13" s="66">
        <v>15</v>
      </c>
      <c r="S13" s="63">
        <f t="shared" si="0"/>
        <v>11.25</v>
      </c>
      <c r="T13" s="80">
        <f>ROUNDUP((R5*R13)+(R6*S13)+(R7*(R13*2)),2)</f>
        <v>0</v>
      </c>
    </row>
    <row r="14" spans="1:21" ht="18.75" customHeight="1">
      <c r="A14" s="231"/>
      <c r="B14" s="84"/>
      <c r="C14" s="61" t="s">
        <v>38</v>
      </c>
      <c r="D14" s="62"/>
      <c r="E14" s="63">
        <v>20</v>
      </c>
      <c r="F14" s="64" t="s">
        <v>39</v>
      </c>
      <c r="G14" s="88"/>
      <c r="H14" s="92" t="s">
        <v>38</v>
      </c>
      <c r="I14" s="62"/>
      <c r="J14" s="64">
        <f>ROUNDUP(E14*0.75,2)</f>
        <v>15</v>
      </c>
      <c r="K14" s="64" t="s">
        <v>39</v>
      </c>
      <c r="L14" s="64"/>
      <c r="M14" s="64">
        <f>ROUNDUP((R5*E14)+(R6*J14)+(R7*(E14*2)),2)</f>
        <v>0</v>
      </c>
      <c r="N14" s="96">
        <f>ROUND(M14+(M14*6/100),2)</f>
        <v>0</v>
      </c>
      <c r="O14" s="84" t="s">
        <v>82</v>
      </c>
      <c r="P14" s="65" t="s">
        <v>57</v>
      </c>
      <c r="Q14" s="62"/>
      <c r="R14" s="66">
        <v>0.5</v>
      </c>
      <c r="S14" s="63">
        <f t="shared" si="0"/>
        <v>0.38</v>
      </c>
      <c r="T14" s="80">
        <f>ROUNDUP((R5*R14)+(R6*S14)+(R7*(R14*2)),2)</f>
        <v>0</v>
      </c>
    </row>
    <row r="15" spans="1:21" ht="18.75" customHeight="1">
      <c r="A15" s="231"/>
      <c r="B15" s="84"/>
      <c r="C15" s="61" t="s">
        <v>54</v>
      </c>
      <c r="D15" s="62"/>
      <c r="E15" s="63">
        <v>5</v>
      </c>
      <c r="F15" s="64" t="s">
        <v>39</v>
      </c>
      <c r="G15" s="88"/>
      <c r="H15" s="92" t="s">
        <v>54</v>
      </c>
      <c r="I15" s="62"/>
      <c r="J15" s="64">
        <f>ROUNDUP(E15*0.75,2)</f>
        <v>3.75</v>
      </c>
      <c r="K15" s="64" t="s">
        <v>39</v>
      </c>
      <c r="L15" s="64"/>
      <c r="M15" s="64">
        <f>ROUNDUP((R5*E15)+(R6*J15)+(R7*(E15*2)),2)</f>
        <v>0</v>
      </c>
      <c r="N15" s="96">
        <f>ROUND(M15+(M15*10/100),2)</f>
        <v>0</v>
      </c>
      <c r="O15" s="84" t="s">
        <v>83</v>
      </c>
      <c r="P15" s="65" t="s">
        <v>58</v>
      </c>
      <c r="Q15" s="62" t="s">
        <v>27</v>
      </c>
      <c r="R15" s="66">
        <v>1</v>
      </c>
      <c r="S15" s="63">
        <f t="shared" si="0"/>
        <v>0.75</v>
      </c>
      <c r="T15" s="80">
        <f>ROUNDUP((R5*R15)+(R6*S15)+(R7*(R15*2)),2)</f>
        <v>0</v>
      </c>
    </row>
    <row r="16" spans="1:21" ht="18.75" customHeight="1">
      <c r="A16" s="231"/>
      <c r="B16" s="84"/>
      <c r="C16" s="61" t="s">
        <v>89</v>
      </c>
      <c r="D16" s="62"/>
      <c r="E16" s="63">
        <v>5</v>
      </c>
      <c r="F16" s="64" t="s">
        <v>39</v>
      </c>
      <c r="G16" s="88"/>
      <c r="H16" s="92" t="s">
        <v>89</v>
      </c>
      <c r="I16" s="62"/>
      <c r="J16" s="64">
        <f>ROUNDUP(E16*0.75,2)</f>
        <v>3.75</v>
      </c>
      <c r="K16" s="64" t="s">
        <v>39</v>
      </c>
      <c r="L16" s="64"/>
      <c r="M16" s="64">
        <f>ROUNDUP((R5*E16)+(R6*J16)+(R7*(E16*2)),2)</f>
        <v>0</v>
      </c>
      <c r="N16" s="96">
        <f>M16</f>
        <v>0</v>
      </c>
      <c r="O16" s="84" t="s">
        <v>84</v>
      </c>
      <c r="P16" s="65" t="s">
        <v>91</v>
      </c>
      <c r="Q16" s="62"/>
      <c r="R16" s="66">
        <v>2</v>
      </c>
      <c r="S16" s="63">
        <f t="shared" si="0"/>
        <v>1.5</v>
      </c>
      <c r="T16" s="80">
        <f>ROUNDUP((R5*R16)+(R6*S16)+(R7*(R16*2)),2)</f>
        <v>0</v>
      </c>
    </row>
    <row r="17" spans="1:20" ht="18.75" customHeight="1">
      <c r="A17" s="231"/>
      <c r="B17" s="84"/>
      <c r="C17" s="61"/>
      <c r="D17" s="62"/>
      <c r="E17" s="63"/>
      <c r="F17" s="64"/>
      <c r="G17" s="88"/>
      <c r="H17" s="92"/>
      <c r="I17" s="62"/>
      <c r="J17" s="64"/>
      <c r="K17" s="64"/>
      <c r="L17" s="64"/>
      <c r="M17" s="64"/>
      <c r="N17" s="96"/>
      <c r="O17" s="84" t="s">
        <v>32</v>
      </c>
      <c r="P17" s="65" t="s">
        <v>92</v>
      </c>
      <c r="Q17" s="62"/>
      <c r="R17" s="66">
        <v>1</v>
      </c>
      <c r="S17" s="63">
        <f t="shared" si="0"/>
        <v>0.75</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93</v>
      </c>
      <c r="C19" s="61" t="s">
        <v>97</v>
      </c>
      <c r="D19" s="62"/>
      <c r="E19" s="63">
        <v>50</v>
      </c>
      <c r="F19" s="64" t="s">
        <v>39</v>
      </c>
      <c r="G19" s="88"/>
      <c r="H19" s="92" t="s">
        <v>97</v>
      </c>
      <c r="I19" s="62"/>
      <c r="J19" s="64">
        <f>ROUNDUP(E19*0.75,2)</f>
        <v>37.5</v>
      </c>
      <c r="K19" s="64" t="s">
        <v>39</v>
      </c>
      <c r="L19" s="64"/>
      <c r="M19" s="64">
        <f>ROUNDUP((R5*E19)+(R6*J19)+(R7*(E19*2)),2)</f>
        <v>0</v>
      </c>
      <c r="N19" s="96">
        <f>ROUND(M19+(M19*10/100),2)</f>
        <v>0</v>
      </c>
      <c r="O19" s="84" t="s">
        <v>94</v>
      </c>
      <c r="P19" s="65" t="s">
        <v>74</v>
      </c>
      <c r="Q19" s="62"/>
      <c r="R19" s="66">
        <v>20</v>
      </c>
      <c r="S19" s="63">
        <f>ROUNDUP(R19*0.75,2)</f>
        <v>15</v>
      </c>
      <c r="T19" s="80">
        <f>ROUNDUP((R5*R19)+(R6*S19)+(R7*(R19*2)),2)</f>
        <v>0</v>
      </c>
    </row>
    <row r="20" spans="1:20" ht="18.75" customHeight="1">
      <c r="A20" s="231"/>
      <c r="B20" s="84"/>
      <c r="C20" s="61"/>
      <c r="D20" s="62"/>
      <c r="E20" s="63"/>
      <c r="F20" s="64"/>
      <c r="G20" s="88"/>
      <c r="H20" s="92"/>
      <c r="I20" s="62"/>
      <c r="J20" s="64"/>
      <c r="K20" s="64"/>
      <c r="L20" s="64"/>
      <c r="M20" s="64"/>
      <c r="N20" s="96"/>
      <c r="O20" s="84" t="s">
        <v>95</v>
      </c>
      <c r="P20" s="65" t="s">
        <v>36</v>
      </c>
      <c r="Q20" s="62"/>
      <c r="R20" s="66">
        <v>0.1</v>
      </c>
      <c r="S20" s="63">
        <f>ROUNDUP(R20*0.75,2)</f>
        <v>0.08</v>
      </c>
      <c r="T20" s="80">
        <f>ROUNDUP((R5*R20)+(R6*S20)+(R7*(R20*2)),2)</f>
        <v>0</v>
      </c>
    </row>
    <row r="21" spans="1:20" ht="18.75" customHeight="1">
      <c r="A21" s="231"/>
      <c r="B21" s="84"/>
      <c r="C21" s="61"/>
      <c r="D21" s="62"/>
      <c r="E21" s="63"/>
      <c r="F21" s="64"/>
      <c r="G21" s="88"/>
      <c r="H21" s="92"/>
      <c r="I21" s="62"/>
      <c r="J21" s="64"/>
      <c r="K21" s="64"/>
      <c r="L21" s="64"/>
      <c r="M21" s="64"/>
      <c r="N21" s="96"/>
      <c r="O21" s="100" t="s">
        <v>256</v>
      </c>
      <c r="P21" s="65" t="s">
        <v>57</v>
      </c>
      <c r="Q21" s="62"/>
      <c r="R21" s="66">
        <v>1</v>
      </c>
      <c r="S21" s="63">
        <f>ROUNDUP(R21*0.75,2)</f>
        <v>0.75</v>
      </c>
      <c r="T21" s="80">
        <f>ROUNDUP((R5*R21)+(R6*S21)+(R7*(R21*2)),2)</f>
        <v>0</v>
      </c>
    </row>
    <row r="22" spans="1:20" ht="18.75" customHeight="1">
      <c r="A22" s="231"/>
      <c r="B22" s="84"/>
      <c r="C22" s="61"/>
      <c r="D22" s="62"/>
      <c r="E22" s="63"/>
      <c r="F22" s="64"/>
      <c r="G22" s="88"/>
      <c r="H22" s="92"/>
      <c r="I22" s="62"/>
      <c r="J22" s="64"/>
      <c r="K22" s="64"/>
      <c r="L22" s="64"/>
      <c r="M22" s="64"/>
      <c r="N22" s="96"/>
      <c r="O22" s="36" t="s">
        <v>257</v>
      </c>
      <c r="P22" s="65" t="s">
        <v>42</v>
      </c>
      <c r="Q22" s="62" t="s">
        <v>43</v>
      </c>
      <c r="R22" s="66">
        <v>1</v>
      </c>
      <c r="S22" s="63">
        <f>ROUNDUP(R22*0.75,2)</f>
        <v>0.75</v>
      </c>
      <c r="T22" s="80">
        <f>ROUNDUP((R5*R22)+(R6*S22)+(R7*(R22*2)),2)</f>
        <v>0</v>
      </c>
    </row>
    <row r="23" spans="1:20" ht="18.75" customHeight="1">
      <c r="A23" s="231"/>
      <c r="B23" s="84"/>
      <c r="C23" s="61"/>
      <c r="D23" s="62"/>
      <c r="E23" s="63"/>
      <c r="F23" s="64"/>
      <c r="G23" s="88"/>
      <c r="H23" s="92"/>
      <c r="I23" s="62"/>
      <c r="J23" s="64"/>
      <c r="K23" s="64"/>
      <c r="L23" s="64"/>
      <c r="M23" s="64"/>
      <c r="N23" s="96"/>
      <c r="O23" s="84" t="s">
        <v>96</v>
      </c>
      <c r="P23" s="65"/>
      <c r="Q23" s="62"/>
      <c r="R23" s="66"/>
      <c r="S23" s="63"/>
      <c r="T23" s="80"/>
    </row>
    <row r="24" spans="1:20" ht="18.75" customHeight="1">
      <c r="A24" s="231"/>
      <c r="B24" s="84"/>
      <c r="C24" s="61"/>
      <c r="D24" s="62"/>
      <c r="E24" s="63"/>
      <c r="F24" s="64"/>
      <c r="G24" s="88"/>
      <c r="H24" s="92"/>
      <c r="I24" s="62"/>
      <c r="J24" s="64"/>
      <c r="K24" s="64"/>
      <c r="L24" s="64"/>
      <c r="M24" s="64"/>
      <c r="N24" s="96"/>
      <c r="O24" s="84" t="s">
        <v>69</v>
      </c>
      <c r="P24" s="65"/>
      <c r="Q24" s="62"/>
      <c r="R24" s="66"/>
      <c r="S24" s="63"/>
      <c r="T24" s="80"/>
    </row>
    <row r="25" spans="1:20" ht="18.75" customHeight="1">
      <c r="A25" s="231"/>
      <c r="B25" s="83"/>
      <c r="C25" s="55"/>
      <c r="D25" s="56"/>
      <c r="E25" s="57"/>
      <c r="F25" s="58"/>
      <c r="G25" s="87"/>
      <c r="H25" s="91"/>
      <c r="I25" s="56"/>
      <c r="J25" s="58"/>
      <c r="K25" s="58"/>
      <c r="L25" s="58"/>
      <c r="M25" s="58"/>
      <c r="N25" s="95"/>
      <c r="O25" s="83"/>
      <c r="P25" s="59"/>
      <c r="Q25" s="56"/>
      <c r="R25" s="60"/>
      <c r="S25" s="57"/>
      <c r="T25" s="79"/>
    </row>
    <row r="26" spans="1:20" ht="18.75" customHeight="1">
      <c r="A26" s="231"/>
      <c r="B26" s="84" t="s">
        <v>98</v>
      </c>
      <c r="C26" s="61" t="s">
        <v>99</v>
      </c>
      <c r="D26" s="62"/>
      <c r="E26" s="63">
        <v>5</v>
      </c>
      <c r="F26" s="64" t="s">
        <v>39</v>
      </c>
      <c r="G26" s="88"/>
      <c r="H26" s="92" t="s">
        <v>99</v>
      </c>
      <c r="I26" s="62"/>
      <c r="J26" s="64">
        <f>ROUNDUP(E26*0.75,2)</f>
        <v>3.75</v>
      </c>
      <c r="K26" s="64" t="s">
        <v>39</v>
      </c>
      <c r="L26" s="64"/>
      <c r="M26" s="64">
        <f>ROUNDUP((R5*E26)+(R6*J26)+(R7*(E26*2)),2)</f>
        <v>0</v>
      </c>
      <c r="N26" s="96">
        <f>ROUND(M26+(M26*15/100),2)</f>
        <v>0</v>
      </c>
      <c r="O26" s="84" t="s">
        <v>32</v>
      </c>
      <c r="P26" s="65" t="s">
        <v>62</v>
      </c>
      <c r="Q26" s="62"/>
      <c r="R26" s="66">
        <v>100</v>
      </c>
      <c r="S26" s="63">
        <f>ROUNDUP(R26*0.75,2)</f>
        <v>75</v>
      </c>
      <c r="T26" s="80">
        <f>ROUNDUP((R5*R26)+(R6*S26)+(R7*(R26*2)),2)</f>
        <v>0</v>
      </c>
    </row>
    <row r="27" spans="1:20" ht="18.75" customHeight="1">
      <c r="A27" s="231"/>
      <c r="B27" s="84"/>
      <c r="C27" s="61" t="s">
        <v>100</v>
      </c>
      <c r="D27" s="62"/>
      <c r="E27" s="63">
        <v>0.5</v>
      </c>
      <c r="F27" s="64" t="s">
        <v>39</v>
      </c>
      <c r="G27" s="88"/>
      <c r="H27" s="92" t="s">
        <v>100</v>
      </c>
      <c r="I27" s="62"/>
      <c r="J27" s="64">
        <f>ROUNDUP(E27*0.75,2)</f>
        <v>0.38</v>
      </c>
      <c r="K27" s="64" t="s">
        <v>39</v>
      </c>
      <c r="L27" s="64"/>
      <c r="M27" s="64">
        <f>ROUNDUP((R5*E27)+(R6*J27)+(R7*(E27*2)),2)</f>
        <v>0</v>
      </c>
      <c r="N27" s="96">
        <f>M27</f>
        <v>0</v>
      </c>
      <c r="O27" s="84"/>
      <c r="P27" s="65" t="s">
        <v>36</v>
      </c>
      <c r="Q27" s="62"/>
      <c r="R27" s="66">
        <v>0.2</v>
      </c>
      <c r="S27" s="63">
        <f>ROUNDUP(R27*0.75,2)</f>
        <v>0.15</v>
      </c>
      <c r="T27" s="80">
        <f>ROUNDUP((R5*R27)+(R6*S27)+(R7*(R27*2)),2)</f>
        <v>0</v>
      </c>
    </row>
    <row r="28" spans="1:20" ht="18.75" customHeight="1">
      <c r="A28" s="231"/>
      <c r="B28" s="84"/>
      <c r="C28" s="61"/>
      <c r="D28" s="62"/>
      <c r="E28" s="63"/>
      <c r="F28" s="64"/>
      <c r="G28" s="88"/>
      <c r="H28" s="92"/>
      <c r="I28" s="62"/>
      <c r="J28" s="64"/>
      <c r="K28" s="64"/>
      <c r="L28" s="64"/>
      <c r="M28" s="64"/>
      <c r="N28" s="96"/>
      <c r="O28" s="84"/>
      <c r="P28" s="65" t="s">
        <v>58</v>
      </c>
      <c r="Q28" s="62" t="s">
        <v>27</v>
      </c>
      <c r="R28" s="66">
        <v>1.5</v>
      </c>
      <c r="S28" s="63">
        <f>ROUNDUP(R28*0.75,2)</f>
        <v>1.1300000000000001</v>
      </c>
      <c r="T28" s="80">
        <f>ROUNDUP((R5*R28)+(R6*S28)+(R7*(R28*2)),2)</f>
        <v>0</v>
      </c>
    </row>
    <row r="29" spans="1:20" ht="18.75" customHeight="1">
      <c r="A29" s="231"/>
      <c r="B29" s="83"/>
      <c r="C29" s="55"/>
      <c r="D29" s="56"/>
      <c r="E29" s="57"/>
      <c r="F29" s="58"/>
      <c r="G29" s="87"/>
      <c r="H29" s="91"/>
      <c r="I29" s="56"/>
      <c r="J29" s="58"/>
      <c r="K29" s="58"/>
      <c r="L29" s="58"/>
      <c r="M29" s="58"/>
      <c r="N29" s="95"/>
      <c r="O29" s="83"/>
      <c r="P29" s="59"/>
      <c r="Q29" s="56"/>
      <c r="R29" s="60"/>
      <c r="S29" s="57"/>
      <c r="T29" s="79"/>
    </row>
    <row r="30" spans="1:20" ht="18.75" customHeight="1">
      <c r="A30" s="231"/>
      <c r="B30" s="84" t="s">
        <v>101</v>
      </c>
      <c r="C30" s="61" t="s">
        <v>102</v>
      </c>
      <c r="D30" s="62"/>
      <c r="E30" s="75">
        <v>0.125</v>
      </c>
      <c r="F30" s="64" t="s">
        <v>67</v>
      </c>
      <c r="G30" s="88"/>
      <c r="H30" s="92" t="s">
        <v>102</v>
      </c>
      <c r="I30" s="62"/>
      <c r="J30" s="64">
        <f>ROUNDUP(E30*0.75,2)</f>
        <v>9.9999999999999992E-2</v>
      </c>
      <c r="K30" s="64" t="s">
        <v>67</v>
      </c>
      <c r="L30" s="64"/>
      <c r="M30" s="64">
        <f>ROUNDUP((R5*E30)+(R6*J30)+(R7*(E30*2)),2)</f>
        <v>0</v>
      </c>
      <c r="N30" s="96">
        <f>M30</f>
        <v>0</v>
      </c>
      <c r="O30" s="84" t="s">
        <v>65</v>
      </c>
      <c r="P30" s="65"/>
      <c r="Q30" s="62"/>
      <c r="R30" s="66"/>
      <c r="S30" s="63"/>
      <c r="T30" s="80"/>
    </row>
    <row r="31" spans="1:20" ht="18.75" customHeight="1" thickBot="1">
      <c r="A31" s="232"/>
      <c r="B31" s="85"/>
      <c r="C31" s="69"/>
      <c r="D31" s="70"/>
      <c r="E31" s="71"/>
      <c r="F31" s="72"/>
      <c r="G31" s="89"/>
      <c r="H31" s="93"/>
      <c r="I31" s="70"/>
      <c r="J31" s="72"/>
      <c r="K31" s="72"/>
      <c r="L31" s="72"/>
      <c r="M31" s="72"/>
      <c r="N31" s="97"/>
      <c r="O31" s="85"/>
      <c r="P31" s="73"/>
      <c r="Q31" s="70"/>
      <c r="R31" s="74"/>
      <c r="S31" s="71"/>
      <c r="T31" s="81"/>
    </row>
  </sheetData>
  <mergeCells count="5">
    <mergeCell ref="H1:O1"/>
    <mergeCell ref="A2:T2"/>
    <mergeCell ref="Q3:T3"/>
    <mergeCell ref="A8:F8"/>
    <mergeCell ref="A10:A31"/>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78</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25</v>
      </c>
      <c r="C10" s="48"/>
      <c r="D10" s="49"/>
      <c r="E10" s="54"/>
      <c r="F10" s="51"/>
      <c r="G10" s="86"/>
      <c r="H10" s="90"/>
      <c r="I10" s="49"/>
      <c r="J10" s="51"/>
      <c r="K10" s="51"/>
      <c r="L10" s="51"/>
      <c r="M10" s="51"/>
      <c r="N10" s="94"/>
      <c r="O10" s="82"/>
      <c r="P10" s="52" t="s">
        <v>25</v>
      </c>
      <c r="Q10" s="49"/>
      <c r="R10" s="53">
        <v>110</v>
      </c>
      <c r="S10" s="54">
        <f>ROUNDUP(R10*0.75,2)</f>
        <v>82.5</v>
      </c>
      <c r="T10" s="78">
        <f>ROUNDUP((R5*R10)+(R6*S10)+(R7*(R10*2)),2)</f>
        <v>0</v>
      </c>
    </row>
    <row r="11" spans="1:21" ht="18.75" customHeight="1">
      <c r="A11" s="231"/>
      <c r="B11" s="83"/>
      <c r="C11" s="55"/>
      <c r="D11" s="56"/>
      <c r="E11" s="57"/>
      <c r="F11" s="58"/>
      <c r="G11" s="87"/>
      <c r="H11" s="91"/>
      <c r="I11" s="56"/>
      <c r="J11" s="58"/>
      <c r="K11" s="58"/>
      <c r="L11" s="58"/>
      <c r="M11" s="58"/>
      <c r="N11" s="95"/>
      <c r="O11" s="83"/>
      <c r="P11" s="59"/>
      <c r="Q11" s="56"/>
      <c r="R11" s="60"/>
      <c r="S11" s="57"/>
      <c r="T11" s="79"/>
    </row>
    <row r="12" spans="1:21" ht="18.75" customHeight="1">
      <c r="A12" s="231"/>
      <c r="B12" s="84" t="s">
        <v>79</v>
      </c>
      <c r="C12" s="61" t="s">
        <v>85</v>
      </c>
      <c r="D12" s="62"/>
      <c r="E12" s="76">
        <v>0.33333333333333331</v>
      </c>
      <c r="F12" s="64" t="s">
        <v>86</v>
      </c>
      <c r="G12" s="88"/>
      <c r="H12" s="92" t="s">
        <v>85</v>
      </c>
      <c r="I12" s="62"/>
      <c r="J12" s="64">
        <f>ROUNDUP(E12*0.75,2)</f>
        <v>0.25</v>
      </c>
      <c r="K12" s="64" t="s">
        <v>86</v>
      </c>
      <c r="L12" s="64"/>
      <c r="M12" s="64">
        <f>ROUNDUP((R5*E12)+(R6*J12)+(R7*(E12*2)),2)</f>
        <v>0</v>
      </c>
      <c r="N12" s="96">
        <f>M12</f>
        <v>0</v>
      </c>
      <c r="O12" s="84" t="s">
        <v>80</v>
      </c>
      <c r="P12" s="65" t="s">
        <v>90</v>
      </c>
      <c r="Q12" s="62"/>
      <c r="R12" s="66">
        <v>2</v>
      </c>
      <c r="S12" s="63">
        <f t="shared" ref="S12:S17" si="0">ROUNDUP(R12*0.75,2)</f>
        <v>1.5</v>
      </c>
      <c r="T12" s="80">
        <f>ROUNDUP((R5*R12)+(R6*S12)+(R7*(R12*2)),2)</f>
        <v>0</v>
      </c>
    </row>
    <row r="13" spans="1:21" ht="18.75" customHeight="1">
      <c r="A13" s="231"/>
      <c r="B13" s="84"/>
      <c r="C13" s="61" t="s">
        <v>87</v>
      </c>
      <c r="D13" s="62"/>
      <c r="E13" s="63">
        <v>20</v>
      </c>
      <c r="F13" s="64" t="s">
        <v>39</v>
      </c>
      <c r="G13" s="88" t="s">
        <v>88</v>
      </c>
      <c r="H13" s="92" t="s">
        <v>87</v>
      </c>
      <c r="I13" s="62"/>
      <c r="J13" s="64">
        <f>ROUNDUP(E13*0.75,2)</f>
        <v>15</v>
      </c>
      <c r="K13" s="64" t="s">
        <v>39</v>
      </c>
      <c r="L13" s="64" t="s">
        <v>88</v>
      </c>
      <c r="M13" s="64">
        <f>ROUNDUP((R5*E13)+(R6*J13)+(R7*(E13*2)),2)</f>
        <v>0</v>
      </c>
      <c r="N13" s="96">
        <f>M13</f>
        <v>0</v>
      </c>
      <c r="O13" s="84" t="s">
        <v>81</v>
      </c>
      <c r="P13" s="65" t="s">
        <v>62</v>
      </c>
      <c r="Q13" s="62"/>
      <c r="R13" s="66">
        <v>15</v>
      </c>
      <c r="S13" s="63">
        <f t="shared" si="0"/>
        <v>11.25</v>
      </c>
      <c r="T13" s="80">
        <f>ROUNDUP((R5*R13)+(R6*S13)+(R7*(R13*2)),2)</f>
        <v>0</v>
      </c>
    </row>
    <row r="14" spans="1:21" ht="18.75" customHeight="1">
      <c r="A14" s="231"/>
      <c r="B14" s="84"/>
      <c r="C14" s="61" t="s">
        <v>38</v>
      </c>
      <c r="D14" s="62"/>
      <c r="E14" s="63">
        <v>20</v>
      </c>
      <c r="F14" s="64" t="s">
        <v>39</v>
      </c>
      <c r="G14" s="88"/>
      <c r="H14" s="92" t="s">
        <v>38</v>
      </c>
      <c r="I14" s="62"/>
      <c r="J14" s="64">
        <f>ROUNDUP(E14*0.75,2)</f>
        <v>15</v>
      </c>
      <c r="K14" s="64" t="s">
        <v>39</v>
      </c>
      <c r="L14" s="64"/>
      <c r="M14" s="64">
        <f>ROUNDUP((R5*E14)+(R6*J14)+(R7*(E14*2)),2)</f>
        <v>0</v>
      </c>
      <c r="N14" s="96">
        <f>ROUND(M14+(M14*6/100),2)</f>
        <v>0</v>
      </c>
      <c r="O14" s="84" t="s">
        <v>82</v>
      </c>
      <c r="P14" s="65" t="s">
        <v>57</v>
      </c>
      <c r="Q14" s="62"/>
      <c r="R14" s="66">
        <v>0.5</v>
      </c>
      <c r="S14" s="63">
        <f t="shared" si="0"/>
        <v>0.38</v>
      </c>
      <c r="T14" s="80">
        <f>ROUNDUP((R5*R14)+(R6*S14)+(R7*(R14*2)),2)</f>
        <v>0</v>
      </c>
    </row>
    <row r="15" spans="1:21" ht="18.75" customHeight="1">
      <c r="A15" s="231"/>
      <c r="B15" s="84"/>
      <c r="C15" s="61" t="s">
        <v>54</v>
      </c>
      <c r="D15" s="62"/>
      <c r="E15" s="63">
        <v>5</v>
      </c>
      <c r="F15" s="64" t="s">
        <v>39</v>
      </c>
      <c r="G15" s="88"/>
      <c r="H15" s="92" t="s">
        <v>54</v>
      </c>
      <c r="I15" s="62"/>
      <c r="J15" s="64">
        <f>ROUNDUP(E15*0.75,2)</f>
        <v>3.75</v>
      </c>
      <c r="K15" s="64" t="s">
        <v>39</v>
      </c>
      <c r="L15" s="64"/>
      <c r="M15" s="64">
        <f>ROUNDUP((R5*E15)+(R6*J15)+(R7*(E15*2)),2)</f>
        <v>0</v>
      </c>
      <c r="N15" s="96">
        <f>ROUND(M15+(M15*10/100),2)</f>
        <v>0</v>
      </c>
      <c r="O15" s="84" t="s">
        <v>83</v>
      </c>
      <c r="P15" s="65" t="s">
        <v>58</v>
      </c>
      <c r="Q15" s="62" t="s">
        <v>27</v>
      </c>
      <c r="R15" s="66">
        <v>1</v>
      </c>
      <c r="S15" s="63">
        <f t="shared" si="0"/>
        <v>0.75</v>
      </c>
      <c r="T15" s="80">
        <f>ROUNDUP((R5*R15)+(R6*S15)+(R7*(R15*2)),2)</f>
        <v>0</v>
      </c>
    </row>
    <row r="16" spans="1:21" ht="18.75" customHeight="1">
      <c r="A16" s="231"/>
      <c r="B16" s="84"/>
      <c r="C16" s="61" t="s">
        <v>89</v>
      </c>
      <c r="D16" s="62"/>
      <c r="E16" s="63">
        <v>5</v>
      </c>
      <c r="F16" s="64" t="s">
        <v>39</v>
      </c>
      <c r="G16" s="88"/>
      <c r="H16" s="92" t="s">
        <v>89</v>
      </c>
      <c r="I16" s="62"/>
      <c r="J16" s="64">
        <f>ROUNDUP(E16*0.75,2)</f>
        <v>3.75</v>
      </c>
      <c r="K16" s="64" t="s">
        <v>39</v>
      </c>
      <c r="L16" s="64"/>
      <c r="M16" s="64">
        <f>ROUNDUP((R5*E16)+(R6*J16)+(R7*(E16*2)),2)</f>
        <v>0</v>
      </c>
      <c r="N16" s="96">
        <f>M16</f>
        <v>0</v>
      </c>
      <c r="O16" s="84" t="s">
        <v>84</v>
      </c>
      <c r="P16" s="65" t="s">
        <v>91</v>
      </c>
      <c r="Q16" s="62"/>
      <c r="R16" s="66">
        <v>2</v>
      </c>
      <c r="S16" s="63">
        <f t="shared" si="0"/>
        <v>1.5</v>
      </c>
      <c r="T16" s="80">
        <f>ROUNDUP((R5*R16)+(R6*S16)+(R7*(R16*2)),2)</f>
        <v>0</v>
      </c>
    </row>
    <row r="17" spans="1:20" ht="18.75" customHeight="1">
      <c r="A17" s="231"/>
      <c r="B17" s="84"/>
      <c r="C17" s="61"/>
      <c r="D17" s="62"/>
      <c r="E17" s="63"/>
      <c r="F17" s="64"/>
      <c r="G17" s="88"/>
      <c r="H17" s="92"/>
      <c r="I17" s="62"/>
      <c r="J17" s="64"/>
      <c r="K17" s="64"/>
      <c r="L17" s="64"/>
      <c r="M17" s="64"/>
      <c r="N17" s="96"/>
      <c r="O17" s="84" t="s">
        <v>32</v>
      </c>
      <c r="P17" s="65" t="s">
        <v>92</v>
      </c>
      <c r="Q17" s="62"/>
      <c r="R17" s="66">
        <v>1</v>
      </c>
      <c r="S17" s="63">
        <f t="shared" si="0"/>
        <v>0.75</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93</v>
      </c>
      <c r="C19" s="61" t="s">
        <v>97</v>
      </c>
      <c r="D19" s="62"/>
      <c r="E19" s="63">
        <v>50</v>
      </c>
      <c r="F19" s="64" t="s">
        <v>39</v>
      </c>
      <c r="G19" s="88"/>
      <c r="H19" s="92" t="s">
        <v>97</v>
      </c>
      <c r="I19" s="62"/>
      <c r="J19" s="64">
        <f>ROUNDUP(E19*0.75,2)</f>
        <v>37.5</v>
      </c>
      <c r="K19" s="64" t="s">
        <v>39</v>
      </c>
      <c r="L19" s="64"/>
      <c r="M19" s="64">
        <f>ROUNDUP((R5*E19)+(R6*J19)+(R7*(E19*2)),2)</f>
        <v>0</v>
      </c>
      <c r="N19" s="96">
        <f>ROUND(M19+(M19*10/100),2)</f>
        <v>0</v>
      </c>
      <c r="O19" s="84" t="s">
        <v>94</v>
      </c>
      <c r="P19" s="65" t="s">
        <v>74</v>
      </c>
      <c r="Q19" s="62"/>
      <c r="R19" s="66">
        <v>20</v>
      </c>
      <c r="S19" s="63">
        <f>ROUNDUP(R19*0.75,2)</f>
        <v>15</v>
      </c>
      <c r="T19" s="80">
        <f>ROUNDUP((R5*R19)+(R6*S19)+(R7*(R19*2)),2)</f>
        <v>0</v>
      </c>
    </row>
    <row r="20" spans="1:20" ht="18.75" customHeight="1">
      <c r="A20" s="231"/>
      <c r="B20" s="84"/>
      <c r="C20" s="61"/>
      <c r="D20" s="62"/>
      <c r="E20" s="63"/>
      <c r="F20" s="64"/>
      <c r="G20" s="88"/>
      <c r="H20" s="92"/>
      <c r="I20" s="62"/>
      <c r="J20" s="64"/>
      <c r="K20" s="64"/>
      <c r="L20" s="64"/>
      <c r="M20" s="64"/>
      <c r="N20" s="96"/>
      <c r="O20" s="84" t="s">
        <v>95</v>
      </c>
      <c r="P20" s="65" t="s">
        <v>36</v>
      </c>
      <c r="Q20" s="62"/>
      <c r="R20" s="66">
        <v>0.1</v>
      </c>
      <c r="S20" s="63">
        <f>ROUNDUP(R20*0.75,2)</f>
        <v>0.08</v>
      </c>
      <c r="T20" s="80">
        <f>ROUNDUP((R5*R20)+(R6*S20)+(R7*(R20*2)),2)</f>
        <v>0</v>
      </c>
    </row>
    <row r="21" spans="1:20" ht="18.75" customHeight="1">
      <c r="A21" s="231"/>
      <c r="B21" s="84"/>
      <c r="C21" s="61"/>
      <c r="D21" s="62"/>
      <c r="E21" s="63"/>
      <c r="F21" s="64"/>
      <c r="G21" s="88"/>
      <c r="H21" s="92"/>
      <c r="I21" s="62"/>
      <c r="J21" s="64"/>
      <c r="K21" s="64"/>
      <c r="L21" s="64"/>
      <c r="M21" s="64"/>
      <c r="N21" s="96"/>
      <c r="O21" s="100" t="s">
        <v>256</v>
      </c>
      <c r="P21" s="65" t="s">
        <v>57</v>
      </c>
      <c r="Q21" s="62"/>
      <c r="R21" s="66">
        <v>1</v>
      </c>
      <c r="S21" s="63">
        <f>ROUNDUP(R21*0.75,2)</f>
        <v>0.75</v>
      </c>
      <c r="T21" s="80">
        <f>ROUNDUP((R5*R21)+(R6*S21)+(R7*(R21*2)),2)</f>
        <v>0</v>
      </c>
    </row>
    <row r="22" spans="1:20" ht="18.75" customHeight="1">
      <c r="A22" s="231"/>
      <c r="B22" s="84"/>
      <c r="C22" s="61"/>
      <c r="D22" s="62"/>
      <c r="E22" s="63"/>
      <c r="F22" s="64"/>
      <c r="G22" s="88"/>
      <c r="H22" s="92"/>
      <c r="I22" s="62"/>
      <c r="J22" s="64"/>
      <c r="K22" s="64"/>
      <c r="L22" s="64"/>
      <c r="M22" s="64"/>
      <c r="N22" s="96"/>
      <c r="O22" s="36" t="s">
        <v>257</v>
      </c>
      <c r="P22" s="65" t="s">
        <v>42</v>
      </c>
      <c r="Q22" s="62" t="s">
        <v>43</v>
      </c>
      <c r="R22" s="66">
        <v>1</v>
      </c>
      <c r="S22" s="63">
        <f>ROUNDUP(R22*0.75,2)</f>
        <v>0.75</v>
      </c>
      <c r="T22" s="80">
        <f>ROUNDUP((R5*R22)+(R6*S22)+(R7*(R22*2)),2)</f>
        <v>0</v>
      </c>
    </row>
    <row r="23" spans="1:20" ht="18.75" customHeight="1">
      <c r="A23" s="231"/>
      <c r="B23" s="84"/>
      <c r="C23" s="61"/>
      <c r="D23" s="62"/>
      <c r="E23" s="63"/>
      <c r="F23" s="64"/>
      <c r="G23" s="88"/>
      <c r="H23" s="92"/>
      <c r="I23" s="62"/>
      <c r="J23" s="64"/>
      <c r="K23" s="64"/>
      <c r="L23" s="64"/>
      <c r="M23" s="64"/>
      <c r="N23" s="96"/>
      <c r="O23" s="84" t="s">
        <v>96</v>
      </c>
      <c r="P23" s="65"/>
      <c r="Q23" s="62"/>
      <c r="R23" s="66"/>
      <c r="S23" s="63"/>
      <c r="T23" s="80"/>
    </row>
    <row r="24" spans="1:20" ht="18.75" customHeight="1">
      <c r="A24" s="231"/>
      <c r="B24" s="84"/>
      <c r="C24" s="61"/>
      <c r="D24" s="62"/>
      <c r="E24" s="63"/>
      <c r="F24" s="64"/>
      <c r="G24" s="88"/>
      <c r="H24" s="92"/>
      <c r="I24" s="62"/>
      <c r="J24" s="64"/>
      <c r="K24" s="64"/>
      <c r="L24" s="64"/>
      <c r="M24" s="64"/>
      <c r="N24" s="96"/>
      <c r="O24" s="84" t="s">
        <v>69</v>
      </c>
      <c r="P24" s="65"/>
      <c r="Q24" s="62"/>
      <c r="R24" s="66"/>
      <c r="S24" s="63"/>
      <c r="T24" s="80"/>
    </row>
    <row r="25" spans="1:20" ht="18.75" customHeight="1">
      <c r="A25" s="231"/>
      <c r="B25" s="83"/>
      <c r="C25" s="55"/>
      <c r="D25" s="56"/>
      <c r="E25" s="57"/>
      <c r="F25" s="58"/>
      <c r="G25" s="87"/>
      <c r="H25" s="91"/>
      <c r="I25" s="56"/>
      <c r="J25" s="58"/>
      <c r="K25" s="58"/>
      <c r="L25" s="58"/>
      <c r="M25" s="58"/>
      <c r="N25" s="95"/>
      <c r="O25" s="83"/>
      <c r="P25" s="59"/>
      <c r="Q25" s="56"/>
      <c r="R25" s="60"/>
      <c r="S25" s="57"/>
      <c r="T25" s="79"/>
    </row>
    <row r="26" spans="1:20" ht="18.75" customHeight="1">
      <c r="A26" s="231"/>
      <c r="B26" s="84" t="s">
        <v>98</v>
      </c>
      <c r="C26" s="61" t="s">
        <v>99</v>
      </c>
      <c r="D26" s="62"/>
      <c r="E26" s="63">
        <v>5</v>
      </c>
      <c r="F26" s="64" t="s">
        <v>39</v>
      </c>
      <c r="G26" s="88"/>
      <c r="H26" s="92" t="s">
        <v>99</v>
      </c>
      <c r="I26" s="62"/>
      <c r="J26" s="64">
        <f>ROUNDUP(E26*0.75,2)</f>
        <v>3.75</v>
      </c>
      <c r="K26" s="64" t="s">
        <v>39</v>
      </c>
      <c r="L26" s="64"/>
      <c r="M26" s="64">
        <f>ROUNDUP((R5*E26)+(R6*J26)+(R7*(E26*2)),2)</f>
        <v>0</v>
      </c>
      <c r="N26" s="96">
        <f>ROUND(M26+(M26*15/100),2)</f>
        <v>0</v>
      </c>
      <c r="O26" s="84" t="s">
        <v>32</v>
      </c>
      <c r="P26" s="65" t="s">
        <v>62</v>
      </c>
      <c r="Q26" s="62"/>
      <c r="R26" s="66">
        <v>100</v>
      </c>
      <c r="S26" s="63">
        <f>ROUNDUP(R26*0.75,2)</f>
        <v>75</v>
      </c>
      <c r="T26" s="80">
        <f>ROUNDUP((R5*R26)+(R6*S26)+(R7*(R26*2)),2)</f>
        <v>0</v>
      </c>
    </row>
    <row r="27" spans="1:20" ht="18.75" customHeight="1">
      <c r="A27" s="231"/>
      <c r="B27" s="84"/>
      <c r="C27" s="61" t="s">
        <v>100</v>
      </c>
      <c r="D27" s="62"/>
      <c r="E27" s="63">
        <v>0.5</v>
      </c>
      <c r="F27" s="64" t="s">
        <v>39</v>
      </c>
      <c r="G27" s="88"/>
      <c r="H27" s="92" t="s">
        <v>100</v>
      </c>
      <c r="I27" s="62"/>
      <c r="J27" s="64">
        <f>ROUNDUP(E27*0.75,2)</f>
        <v>0.38</v>
      </c>
      <c r="K27" s="64" t="s">
        <v>39</v>
      </c>
      <c r="L27" s="64"/>
      <c r="M27" s="64">
        <f>ROUNDUP((R5*E27)+(R6*J27)+(R7*(E27*2)),2)</f>
        <v>0</v>
      </c>
      <c r="N27" s="96">
        <f>M27</f>
        <v>0</v>
      </c>
      <c r="O27" s="84"/>
      <c r="P27" s="65" t="s">
        <v>36</v>
      </c>
      <c r="Q27" s="62"/>
      <c r="R27" s="66">
        <v>0.2</v>
      </c>
      <c r="S27" s="63">
        <f>ROUNDUP(R27*0.75,2)</f>
        <v>0.15</v>
      </c>
      <c r="T27" s="80">
        <f>ROUNDUP((R5*R27)+(R6*S27)+(R7*(R27*2)),2)</f>
        <v>0</v>
      </c>
    </row>
    <row r="28" spans="1:20" ht="18.75" customHeight="1">
      <c r="A28" s="231"/>
      <c r="B28" s="84"/>
      <c r="C28" s="61"/>
      <c r="D28" s="62"/>
      <c r="E28" s="63"/>
      <c r="F28" s="64"/>
      <c r="G28" s="88"/>
      <c r="H28" s="92"/>
      <c r="I28" s="62"/>
      <c r="J28" s="64"/>
      <c r="K28" s="64"/>
      <c r="L28" s="64"/>
      <c r="M28" s="64"/>
      <c r="N28" s="96"/>
      <c r="O28" s="84"/>
      <c r="P28" s="65" t="s">
        <v>58</v>
      </c>
      <c r="Q28" s="62" t="s">
        <v>27</v>
      </c>
      <c r="R28" s="66">
        <v>1.5</v>
      </c>
      <c r="S28" s="63">
        <f>ROUNDUP(R28*0.75,2)</f>
        <v>1.1300000000000001</v>
      </c>
      <c r="T28" s="80">
        <f>ROUNDUP((R5*R28)+(R6*S28)+(R7*(R28*2)),2)</f>
        <v>0</v>
      </c>
    </row>
    <row r="29" spans="1:20" ht="18.75" customHeight="1">
      <c r="A29" s="231"/>
      <c r="B29" s="83"/>
      <c r="C29" s="55"/>
      <c r="D29" s="56"/>
      <c r="E29" s="57"/>
      <c r="F29" s="58"/>
      <c r="G29" s="87"/>
      <c r="H29" s="91"/>
      <c r="I29" s="56"/>
      <c r="J29" s="58"/>
      <c r="K29" s="58"/>
      <c r="L29" s="58"/>
      <c r="M29" s="58"/>
      <c r="N29" s="95"/>
      <c r="O29" s="83"/>
      <c r="P29" s="59"/>
      <c r="Q29" s="56"/>
      <c r="R29" s="60"/>
      <c r="S29" s="57"/>
      <c r="T29" s="79"/>
    </row>
    <row r="30" spans="1:20" ht="18.75" customHeight="1">
      <c r="A30" s="231"/>
      <c r="B30" s="84" t="s">
        <v>101</v>
      </c>
      <c r="C30" s="61" t="s">
        <v>102</v>
      </c>
      <c r="D30" s="62"/>
      <c r="E30" s="75">
        <v>0.125</v>
      </c>
      <c r="F30" s="64" t="s">
        <v>67</v>
      </c>
      <c r="G30" s="88"/>
      <c r="H30" s="92" t="s">
        <v>102</v>
      </c>
      <c r="I30" s="62"/>
      <c r="J30" s="64">
        <f>ROUNDUP(E30*0.75,2)</f>
        <v>9.9999999999999992E-2</v>
      </c>
      <c r="K30" s="64" t="s">
        <v>67</v>
      </c>
      <c r="L30" s="64"/>
      <c r="M30" s="64">
        <f>ROUNDUP((R5*E30)+(R6*J30)+(R7*(E30*2)),2)</f>
        <v>0</v>
      </c>
      <c r="N30" s="96">
        <f>M30</f>
        <v>0</v>
      </c>
      <c r="O30" s="84" t="s">
        <v>65</v>
      </c>
      <c r="P30" s="65"/>
      <c r="Q30" s="62"/>
      <c r="R30" s="66"/>
      <c r="S30" s="63"/>
      <c r="T30" s="80"/>
    </row>
    <row r="31" spans="1:20" ht="18.75" customHeight="1" thickBot="1">
      <c r="A31" s="232"/>
      <c r="B31" s="85"/>
      <c r="C31" s="69"/>
      <c r="D31" s="70"/>
      <c r="E31" s="71"/>
      <c r="F31" s="72"/>
      <c r="G31" s="89"/>
      <c r="H31" s="93"/>
      <c r="I31" s="70"/>
      <c r="J31" s="72"/>
      <c r="K31" s="72"/>
      <c r="L31" s="72"/>
      <c r="M31" s="72"/>
      <c r="N31" s="97"/>
      <c r="O31" s="85"/>
      <c r="P31" s="73"/>
      <c r="Q31" s="70"/>
      <c r="R31" s="74"/>
      <c r="S31" s="71"/>
      <c r="T31" s="81"/>
    </row>
  </sheetData>
  <mergeCells count="5">
    <mergeCell ref="H1:O1"/>
    <mergeCell ref="A2:T2"/>
    <mergeCell ref="Q3:T3"/>
    <mergeCell ref="A8:F8"/>
    <mergeCell ref="A10:A31"/>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138</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139</v>
      </c>
      <c r="C10" s="48" t="s">
        <v>143</v>
      </c>
      <c r="D10" s="49" t="s">
        <v>27</v>
      </c>
      <c r="E10" s="54">
        <v>40</v>
      </c>
      <c r="F10" s="51" t="s">
        <v>39</v>
      </c>
      <c r="G10" s="86"/>
      <c r="H10" s="90" t="s">
        <v>143</v>
      </c>
      <c r="I10" s="49" t="s">
        <v>27</v>
      </c>
      <c r="J10" s="51">
        <f>ROUNDUP(E10*0.75,2)</f>
        <v>30</v>
      </c>
      <c r="K10" s="51" t="s">
        <v>39</v>
      </c>
      <c r="L10" s="51"/>
      <c r="M10" s="51">
        <f>ROUNDUP((R5*E10)+(R6*J10)+(R7*(E10*2)),2)</f>
        <v>0</v>
      </c>
      <c r="N10" s="94">
        <f>M10</f>
        <v>0</v>
      </c>
      <c r="O10" s="82" t="s">
        <v>140</v>
      </c>
      <c r="P10" s="52" t="s">
        <v>42</v>
      </c>
      <c r="Q10" s="49" t="s">
        <v>43</v>
      </c>
      <c r="R10" s="53">
        <v>2</v>
      </c>
      <c r="S10" s="54">
        <f t="shared" ref="S10:S17" si="0">ROUNDUP(R10*0.75,2)</f>
        <v>1.5</v>
      </c>
      <c r="T10" s="78">
        <f>ROUNDUP((R5*R10)+(R6*S10)+(R7*(R10*2)),2)</f>
        <v>0</v>
      </c>
    </row>
    <row r="11" spans="1:21" ht="18.75" customHeight="1">
      <c r="A11" s="231"/>
      <c r="B11" s="84"/>
      <c r="C11" s="61" t="s">
        <v>38</v>
      </c>
      <c r="D11" s="62"/>
      <c r="E11" s="63">
        <v>30</v>
      </c>
      <c r="F11" s="64" t="s">
        <v>39</v>
      </c>
      <c r="G11" s="88"/>
      <c r="H11" s="92" t="s">
        <v>38</v>
      </c>
      <c r="I11" s="62"/>
      <c r="J11" s="64">
        <f>ROUNDUP(E11*0.75,2)</f>
        <v>22.5</v>
      </c>
      <c r="K11" s="64" t="s">
        <v>39</v>
      </c>
      <c r="L11" s="64"/>
      <c r="M11" s="64">
        <f>ROUNDUP((R5*E11)+(R6*J11)+(R7*(E11*2)),2)</f>
        <v>0</v>
      </c>
      <c r="N11" s="96">
        <f>ROUND(M11+(M11*6/100),2)</f>
        <v>0</v>
      </c>
      <c r="O11" s="84" t="s">
        <v>141</v>
      </c>
      <c r="P11" s="65" t="s">
        <v>37</v>
      </c>
      <c r="Q11" s="62"/>
      <c r="R11" s="66">
        <v>2</v>
      </c>
      <c r="S11" s="63">
        <f t="shared" si="0"/>
        <v>1.5</v>
      </c>
      <c r="T11" s="80">
        <f>ROUNDUP((R5*R11)+(R6*S11)+(R7*(R11*2)),2)</f>
        <v>0</v>
      </c>
    </row>
    <row r="12" spans="1:21" ht="18.75" customHeight="1">
      <c r="A12" s="231"/>
      <c r="B12" s="84"/>
      <c r="C12" s="61" t="s">
        <v>54</v>
      </c>
      <c r="D12" s="62"/>
      <c r="E12" s="63">
        <v>10</v>
      </c>
      <c r="F12" s="64" t="s">
        <v>39</v>
      </c>
      <c r="G12" s="88"/>
      <c r="H12" s="92" t="s">
        <v>54</v>
      </c>
      <c r="I12" s="62"/>
      <c r="J12" s="64">
        <f>ROUNDUP(E12*0.75,2)</f>
        <v>7.5</v>
      </c>
      <c r="K12" s="64" t="s">
        <v>39</v>
      </c>
      <c r="L12" s="64"/>
      <c r="M12" s="64">
        <f>ROUNDUP((R5*E12)+(R6*J12)+(R7*(E12*2)),2)</f>
        <v>0</v>
      </c>
      <c r="N12" s="96">
        <f>ROUND(M12+(M12*10/100),2)</f>
        <v>0</v>
      </c>
      <c r="O12" s="100" t="s">
        <v>260</v>
      </c>
      <c r="P12" s="65" t="s">
        <v>44</v>
      </c>
      <c r="Q12" s="62" t="s">
        <v>27</v>
      </c>
      <c r="R12" s="66">
        <v>2</v>
      </c>
      <c r="S12" s="63">
        <f t="shared" si="0"/>
        <v>1.5</v>
      </c>
      <c r="T12" s="80">
        <f>ROUNDUP((R5*R12)+(R6*S12)+(R7*(R12*2)),2)</f>
        <v>0</v>
      </c>
    </row>
    <row r="13" spans="1:21" ht="18.75" customHeight="1">
      <c r="A13" s="231"/>
      <c r="B13" s="84"/>
      <c r="C13" s="61" t="s">
        <v>144</v>
      </c>
      <c r="D13" s="62"/>
      <c r="E13" s="63">
        <v>40</v>
      </c>
      <c r="F13" s="64" t="s">
        <v>39</v>
      </c>
      <c r="G13" s="88"/>
      <c r="H13" s="92" t="s">
        <v>144</v>
      </c>
      <c r="I13" s="62"/>
      <c r="J13" s="64">
        <f>ROUNDUP(E13*0.75,2)</f>
        <v>30</v>
      </c>
      <c r="K13" s="64" t="s">
        <v>39</v>
      </c>
      <c r="L13" s="64"/>
      <c r="M13" s="64">
        <f>ROUNDUP((R5*E13)+(R6*J13)+(R7*(E13*2)),2)</f>
        <v>0</v>
      </c>
      <c r="N13" s="96">
        <f>M13</f>
        <v>0</v>
      </c>
      <c r="O13" s="36" t="s">
        <v>261</v>
      </c>
      <c r="P13" s="65" t="s">
        <v>74</v>
      </c>
      <c r="Q13" s="62"/>
      <c r="R13" s="66">
        <v>30</v>
      </c>
      <c r="S13" s="63">
        <f t="shared" si="0"/>
        <v>22.5</v>
      </c>
      <c r="T13" s="80">
        <f>ROUNDUP((R5*R13)+(R6*S13)+(R7*(R13*2)),2)</f>
        <v>0</v>
      </c>
    </row>
    <row r="14" spans="1:21" ht="18.75" customHeight="1">
      <c r="A14" s="231"/>
      <c r="B14" s="84"/>
      <c r="C14" s="61" t="s">
        <v>145</v>
      </c>
      <c r="D14" s="62"/>
      <c r="E14" s="63">
        <v>5</v>
      </c>
      <c r="F14" s="64" t="s">
        <v>39</v>
      </c>
      <c r="G14" s="88"/>
      <c r="H14" s="92" t="s">
        <v>145</v>
      </c>
      <c r="I14" s="62"/>
      <c r="J14" s="64">
        <f>ROUNDUP(E14*0.75,2)</f>
        <v>3.75</v>
      </c>
      <c r="K14" s="64" t="s">
        <v>39</v>
      </c>
      <c r="L14" s="64"/>
      <c r="M14" s="64">
        <f>ROUNDUP((R5*E14)+(R6*J14)+(R7*(E14*2)),2)</f>
        <v>0</v>
      </c>
      <c r="N14" s="96">
        <f>M14</f>
        <v>0</v>
      </c>
      <c r="O14" s="84" t="s">
        <v>142</v>
      </c>
      <c r="P14" s="65" t="s">
        <v>109</v>
      </c>
      <c r="Q14" s="62"/>
      <c r="R14" s="66">
        <v>1</v>
      </c>
      <c r="S14" s="63">
        <f t="shared" si="0"/>
        <v>0.75</v>
      </c>
      <c r="T14" s="80">
        <f>ROUNDUP((R5*R14)+(R6*S14)+(R7*(R14*2)),2)</f>
        <v>0</v>
      </c>
    </row>
    <row r="15" spans="1:21" ht="18.75" customHeight="1">
      <c r="A15" s="231"/>
      <c r="B15" s="84"/>
      <c r="C15" s="61"/>
      <c r="D15" s="62"/>
      <c r="E15" s="63"/>
      <c r="F15" s="64"/>
      <c r="G15" s="88"/>
      <c r="H15" s="92"/>
      <c r="I15" s="62"/>
      <c r="J15" s="64"/>
      <c r="K15" s="64"/>
      <c r="L15" s="64"/>
      <c r="M15" s="64"/>
      <c r="N15" s="96"/>
      <c r="O15" s="84" t="s">
        <v>84</v>
      </c>
      <c r="P15" s="65" t="s">
        <v>72</v>
      </c>
      <c r="Q15" s="62"/>
      <c r="R15" s="66">
        <v>15</v>
      </c>
      <c r="S15" s="63">
        <f t="shared" si="0"/>
        <v>11.25</v>
      </c>
      <c r="T15" s="80">
        <f>ROUNDUP((R5*R15)+(R6*S15)+(R7*(R15*2)),2)</f>
        <v>0</v>
      </c>
    </row>
    <row r="16" spans="1:21" ht="18.75" customHeight="1">
      <c r="A16" s="231"/>
      <c r="B16" s="84"/>
      <c r="C16" s="61"/>
      <c r="D16" s="62"/>
      <c r="E16" s="63"/>
      <c r="F16" s="64"/>
      <c r="G16" s="88"/>
      <c r="H16" s="92"/>
      <c r="I16" s="62"/>
      <c r="J16" s="64"/>
      <c r="K16" s="64"/>
      <c r="L16" s="64"/>
      <c r="M16" s="64"/>
      <c r="N16" s="96"/>
      <c r="O16" s="84" t="s">
        <v>32</v>
      </c>
      <c r="P16" s="65" t="s">
        <v>73</v>
      </c>
      <c r="Q16" s="62"/>
      <c r="R16" s="66">
        <v>2</v>
      </c>
      <c r="S16" s="63">
        <f t="shared" si="0"/>
        <v>1.5</v>
      </c>
      <c r="T16" s="80">
        <f>ROUNDUP((R5*R16)+(R6*S16)+(R7*(R16*2)),2)</f>
        <v>0</v>
      </c>
    </row>
    <row r="17" spans="1:20" ht="18.75" customHeight="1">
      <c r="A17" s="231"/>
      <c r="B17" s="84"/>
      <c r="C17" s="61"/>
      <c r="D17" s="62"/>
      <c r="E17" s="63"/>
      <c r="F17" s="64"/>
      <c r="G17" s="88"/>
      <c r="H17" s="92"/>
      <c r="I17" s="62"/>
      <c r="J17" s="64"/>
      <c r="K17" s="64"/>
      <c r="L17" s="64"/>
      <c r="M17" s="64"/>
      <c r="N17" s="96"/>
      <c r="O17" s="84"/>
      <c r="P17" s="65" t="s">
        <v>57</v>
      </c>
      <c r="Q17" s="62"/>
      <c r="R17" s="66">
        <v>0.5</v>
      </c>
      <c r="S17" s="63">
        <f t="shared" si="0"/>
        <v>0.38</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146</v>
      </c>
      <c r="C19" s="61" t="s">
        <v>53</v>
      </c>
      <c r="D19" s="62"/>
      <c r="E19" s="63">
        <v>40</v>
      </c>
      <c r="F19" s="64" t="s">
        <v>39</v>
      </c>
      <c r="G19" s="88"/>
      <c r="H19" s="92" t="s">
        <v>53</v>
      </c>
      <c r="I19" s="62"/>
      <c r="J19" s="64">
        <f>ROUNDUP(E19*0.75,2)</f>
        <v>30</v>
      </c>
      <c r="K19" s="64" t="s">
        <v>39</v>
      </c>
      <c r="L19" s="64"/>
      <c r="M19" s="64">
        <f>ROUNDUP((R5*E19)+(R6*J19)+(R7*(E19*2)),2)</f>
        <v>0</v>
      </c>
      <c r="N19" s="96">
        <f>ROUND(M19+(M19*6/100),2)</f>
        <v>0</v>
      </c>
      <c r="O19" s="84" t="s">
        <v>147</v>
      </c>
      <c r="P19" s="65" t="s">
        <v>55</v>
      </c>
      <c r="Q19" s="62" t="s">
        <v>56</v>
      </c>
      <c r="R19" s="66">
        <v>4</v>
      </c>
      <c r="S19" s="63">
        <f>ROUNDUP(R19*0.75,2)</f>
        <v>3</v>
      </c>
      <c r="T19" s="80">
        <f>ROUNDUP((R5*R19)+(R6*S19)+(R7*(R19*2)),2)</f>
        <v>0</v>
      </c>
    </row>
    <row r="20" spans="1:20" ht="18.75" customHeight="1">
      <c r="A20" s="231"/>
      <c r="B20" s="84"/>
      <c r="C20" s="61" t="s">
        <v>70</v>
      </c>
      <c r="D20" s="62" t="s">
        <v>71</v>
      </c>
      <c r="E20" s="77">
        <v>0.5</v>
      </c>
      <c r="F20" s="64" t="s">
        <v>67</v>
      </c>
      <c r="G20" s="88"/>
      <c r="H20" s="92" t="s">
        <v>70</v>
      </c>
      <c r="I20" s="62" t="s">
        <v>71</v>
      </c>
      <c r="J20" s="64">
        <f>ROUNDUP(E20*0.75,2)</f>
        <v>0.38</v>
      </c>
      <c r="K20" s="64" t="s">
        <v>67</v>
      </c>
      <c r="L20" s="64"/>
      <c r="M20" s="64">
        <f>ROUNDUP((R5*E20)+(R6*J20)+(R7*(E20*2)),2)</f>
        <v>0</v>
      </c>
      <c r="N20" s="96">
        <f>M20</f>
        <v>0</v>
      </c>
      <c r="O20" s="84" t="s">
        <v>133</v>
      </c>
      <c r="P20" s="65" t="s">
        <v>57</v>
      </c>
      <c r="Q20" s="62"/>
      <c r="R20" s="66">
        <v>0.3</v>
      </c>
      <c r="S20" s="63">
        <f>ROUNDUP(R20*0.75,2)</f>
        <v>0.23</v>
      </c>
      <c r="T20" s="80">
        <f>ROUNDUP((R5*R20)+(R6*S20)+(R7*(R20*2)),2)</f>
        <v>0</v>
      </c>
    </row>
    <row r="21" spans="1:20" ht="18.75" customHeight="1">
      <c r="A21" s="231"/>
      <c r="B21" s="84"/>
      <c r="C21" s="61"/>
      <c r="D21" s="62"/>
      <c r="E21" s="63"/>
      <c r="F21" s="64"/>
      <c r="G21" s="88"/>
      <c r="H21" s="92"/>
      <c r="I21" s="62"/>
      <c r="J21" s="64"/>
      <c r="K21" s="64"/>
      <c r="L21" s="64"/>
      <c r="M21" s="64"/>
      <c r="N21" s="96"/>
      <c r="O21" s="84" t="s">
        <v>32</v>
      </c>
      <c r="P21" s="65" t="s">
        <v>58</v>
      </c>
      <c r="Q21" s="62" t="s">
        <v>27</v>
      </c>
      <c r="R21" s="66">
        <v>0.3</v>
      </c>
      <c r="S21" s="63">
        <f>ROUNDUP(R21*0.75,2)</f>
        <v>0.23</v>
      </c>
      <c r="T21" s="80">
        <f>ROUNDUP((R5*R21)+(R6*S21)+(R7*(R21*2)),2)</f>
        <v>0</v>
      </c>
    </row>
    <row r="22" spans="1:20" ht="18.75" customHeight="1">
      <c r="A22" s="231"/>
      <c r="B22" s="83"/>
      <c r="C22" s="55"/>
      <c r="D22" s="56"/>
      <c r="E22" s="57"/>
      <c r="F22" s="58"/>
      <c r="G22" s="87"/>
      <c r="H22" s="91"/>
      <c r="I22" s="56"/>
      <c r="J22" s="58"/>
      <c r="K22" s="58"/>
      <c r="L22" s="58"/>
      <c r="M22" s="58"/>
      <c r="N22" s="95"/>
      <c r="O22" s="83"/>
      <c r="P22" s="59"/>
      <c r="Q22" s="56"/>
      <c r="R22" s="60"/>
      <c r="S22" s="57"/>
      <c r="T22" s="79"/>
    </row>
    <row r="23" spans="1:20" ht="18.75" customHeight="1">
      <c r="A23" s="231"/>
      <c r="B23" s="84" t="s">
        <v>148</v>
      </c>
      <c r="C23" s="61" t="s">
        <v>61</v>
      </c>
      <c r="D23" s="62"/>
      <c r="E23" s="63">
        <v>3</v>
      </c>
      <c r="F23" s="64" t="s">
        <v>39</v>
      </c>
      <c r="G23" s="88"/>
      <c r="H23" s="92" t="s">
        <v>61</v>
      </c>
      <c r="I23" s="62"/>
      <c r="J23" s="64">
        <f>ROUNDUP(E23*0.75,2)</f>
        <v>2.25</v>
      </c>
      <c r="K23" s="64" t="s">
        <v>39</v>
      </c>
      <c r="L23" s="64"/>
      <c r="M23" s="64">
        <f>ROUNDUP((R5*E23)+(R6*J23)+(R7*(E23*2)),2)</f>
        <v>0</v>
      </c>
      <c r="N23" s="96">
        <f>ROUND(M23+(M23*40/100),2)</f>
        <v>0</v>
      </c>
      <c r="O23" s="84" t="s">
        <v>32</v>
      </c>
      <c r="P23" s="65" t="s">
        <v>74</v>
      </c>
      <c r="Q23" s="62"/>
      <c r="R23" s="66">
        <v>100</v>
      </c>
      <c r="S23" s="63">
        <f>ROUNDUP(R23*0.75,2)</f>
        <v>75</v>
      </c>
      <c r="T23" s="80">
        <f>ROUNDUP((R5*R23)+(R6*S23)+(R7*(R23*2)),2)</f>
        <v>0</v>
      </c>
    </row>
    <row r="24" spans="1:20" ht="18.75" customHeight="1">
      <c r="A24" s="231"/>
      <c r="B24" s="84"/>
      <c r="C24" s="61" t="s">
        <v>100</v>
      </c>
      <c r="D24" s="62"/>
      <c r="E24" s="63">
        <v>0.5</v>
      </c>
      <c r="F24" s="64" t="s">
        <v>39</v>
      </c>
      <c r="G24" s="88"/>
      <c r="H24" s="92" t="s">
        <v>100</v>
      </c>
      <c r="I24" s="62"/>
      <c r="J24" s="64">
        <f>ROUNDUP(E24*0.75,2)</f>
        <v>0.38</v>
      </c>
      <c r="K24" s="64" t="s">
        <v>39</v>
      </c>
      <c r="L24" s="64"/>
      <c r="M24" s="64">
        <f>ROUNDUP((R5*E24)+(R6*J24)+(R7*(E24*2)),2)</f>
        <v>0</v>
      </c>
      <c r="N24" s="96">
        <f>M24</f>
        <v>0</v>
      </c>
      <c r="O24" s="84"/>
      <c r="P24" s="65" t="s">
        <v>36</v>
      </c>
      <c r="Q24" s="62"/>
      <c r="R24" s="66">
        <v>0.2</v>
      </c>
      <c r="S24" s="63">
        <f>ROUNDUP(R24*0.75,2)</f>
        <v>0.15</v>
      </c>
      <c r="T24" s="80">
        <f>ROUNDUP((R5*R24)+(R6*S24)+(R7*(R24*2)),2)</f>
        <v>0</v>
      </c>
    </row>
    <row r="25" spans="1:20" ht="18.75" customHeight="1">
      <c r="A25" s="231"/>
      <c r="B25" s="84"/>
      <c r="C25" s="61"/>
      <c r="D25" s="62"/>
      <c r="E25" s="63"/>
      <c r="F25" s="64"/>
      <c r="G25" s="88"/>
      <c r="H25" s="92"/>
      <c r="I25" s="62"/>
      <c r="J25" s="64"/>
      <c r="K25" s="64"/>
      <c r="L25" s="64"/>
      <c r="M25" s="64"/>
      <c r="N25" s="96"/>
      <c r="O25" s="84"/>
      <c r="P25" s="65" t="s">
        <v>149</v>
      </c>
      <c r="Q25" s="62" t="s">
        <v>150</v>
      </c>
      <c r="R25" s="66">
        <v>0.6</v>
      </c>
      <c r="S25" s="63">
        <f>ROUNDUP(R25*0.75,2)</f>
        <v>0.45</v>
      </c>
      <c r="T25" s="80">
        <f>ROUNDUP((R5*R25)+(R6*S25)+(R7*(R25*2)),2)</f>
        <v>0</v>
      </c>
    </row>
    <row r="26" spans="1:20" ht="18.75" customHeight="1" thickBot="1">
      <c r="A26" s="232"/>
      <c r="B26" s="85"/>
      <c r="C26" s="69"/>
      <c r="D26" s="70"/>
      <c r="E26" s="71"/>
      <c r="F26" s="72"/>
      <c r="G26" s="89"/>
      <c r="H26" s="93"/>
      <c r="I26" s="70"/>
      <c r="J26" s="72"/>
      <c r="K26" s="72"/>
      <c r="L26" s="72"/>
      <c r="M26" s="72"/>
      <c r="N26" s="97"/>
      <c r="O26" s="85"/>
      <c r="P26" s="73"/>
      <c r="Q26" s="70"/>
      <c r="R26" s="74"/>
      <c r="S26" s="71"/>
      <c r="T26" s="81"/>
    </row>
  </sheetData>
  <mergeCells count="5">
    <mergeCell ref="H1:O1"/>
    <mergeCell ref="A2:T2"/>
    <mergeCell ref="Q3:T3"/>
    <mergeCell ref="A8:F8"/>
    <mergeCell ref="A10:A26"/>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157</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25</v>
      </c>
      <c r="C10" s="48"/>
      <c r="D10" s="49"/>
      <c r="E10" s="54"/>
      <c r="F10" s="51"/>
      <c r="G10" s="86"/>
      <c r="H10" s="90"/>
      <c r="I10" s="49"/>
      <c r="J10" s="51"/>
      <c r="K10" s="51"/>
      <c r="L10" s="51"/>
      <c r="M10" s="51"/>
      <c r="N10" s="94"/>
      <c r="O10" s="82"/>
      <c r="P10" s="52" t="s">
        <v>25</v>
      </c>
      <c r="Q10" s="49"/>
      <c r="R10" s="53">
        <v>110</v>
      </c>
      <c r="S10" s="54">
        <f>ROUNDUP(R10*0.75,2)</f>
        <v>82.5</v>
      </c>
      <c r="T10" s="78">
        <f>ROUNDUP((R5*R10)+(R6*S10)+(R7*(R10*2)),2)</f>
        <v>0</v>
      </c>
    </row>
    <row r="11" spans="1:21" ht="18.75" customHeight="1">
      <c r="A11" s="231"/>
      <c r="B11" s="83"/>
      <c r="C11" s="55"/>
      <c r="D11" s="56"/>
      <c r="E11" s="57"/>
      <c r="F11" s="58"/>
      <c r="G11" s="87"/>
      <c r="H11" s="91"/>
      <c r="I11" s="56"/>
      <c r="J11" s="58"/>
      <c r="K11" s="58"/>
      <c r="L11" s="58"/>
      <c r="M11" s="58"/>
      <c r="N11" s="95"/>
      <c r="O11" s="83"/>
      <c r="P11" s="59"/>
      <c r="Q11" s="56"/>
      <c r="R11" s="60"/>
      <c r="S11" s="57"/>
      <c r="T11" s="79"/>
    </row>
    <row r="12" spans="1:21" ht="18.75" customHeight="1">
      <c r="A12" s="231"/>
      <c r="B12" s="84" t="s">
        <v>158</v>
      </c>
      <c r="C12" s="61" t="s">
        <v>161</v>
      </c>
      <c r="D12" s="62"/>
      <c r="E12" s="63">
        <v>1</v>
      </c>
      <c r="F12" s="64" t="s">
        <v>35</v>
      </c>
      <c r="G12" s="88" t="s">
        <v>34</v>
      </c>
      <c r="H12" s="92" t="s">
        <v>161</v>
      </c>
      <c r="I12" s="62"/>
      <c r="J12" s="64">
        <f>ROUNDUP(E12*0.75,2)</f>
        <v>0.75</v>
      </c>
      <c r="K12" s="64" t="s">
        <v>35</v>
      </c>
      <c r="L12" s="64" t="s">
        <v>34</v>
      </c>
      <c r="M12" s="64">
        <f>ROUNDUP((R5*E12)+(R6*J12)+(R7*(E12*2)),2)</f>
        <v>0</v>
      </c>
      <c r="N12" s="96">
        <f>M12</f>
        <v>0</v>
      </c>
      <c r="O12" s="84" t="s">
        <v>159</v>
      </c>
      <c r="P12" s="65" t="s">
        <v>58</v>
      </c>
      <c r="Q12" s="62" t="s">
        <v>27</v>
      </c>
      <c r="R12" s="66">
        <v>1</v>
      </c>
      <c r="S12" s="63">
        <f t="shared" ref="S12:S17" si="0">ROUNDUP(R12*0.75,2)</f>
        <v>0.75</v>
      </c>
      <c r="T12" s="80">
        <f>ROUNDUP((R5*R12)+(R6*S12)+(R7*(R12*2)),2)</f>
        <v>0</v>
      </c>
    </row>
    <row r="13" spans="1:21" ht="18.75" customHeight="1">
      <c r="A13" s="231"/>
      <c r="B13" s="84"/>
      <c r="C13" s="61" t="s">
        <v>162</v>
      </c>
      <c r="D13" s="62"/>
      <c r="E13" s="63">
        <v>0.5</v>
      </c>
      <c r="F13" s="64" t="s">
        <v>39</v>
      </c>
      <c r="G13" s="88"/>
      <c r="H13" s="92" t="s">
        <v>162</v>
      </c>
      <c r="I13" s="62"/>
      <c r="J13" s="64">
        <f>ROUNDUP(E13*0.75,2)</f>
        <v>0.38</v>
      </c>
      <c r="K13" s="64" t="s">
        <v>39</v>
      </c>
      <c r="L13" s="64"/>
      <c r="M13" s="64">
        <f>ROUNDUP((R5*E13)+(R6*J13)+(R7*(E13*2)),2)</f>
        <v>0</v>
      </c>
      <c r="N13" s="96">
        <f>ROUND(M13+(M13*20/100),2)</f>
        <v>0</v>
      </c>
      <c r="O13" s="84" t="s">
        <v>160</v>
      </c>
      <c r="P13" s="65" t="s">
        <v>91</v>
      </c>
      <c r="Q13" s="62"/>
      <c r="R13" s="66">
        <v>2</v>
      </c>
      <c r="S13" s="63">
        <f t="shared" si="0"/>
        <v>1.5</v>
      </c>
      <c r="T13" s="80">
        <f>ROUNDUP((R5*R13)+(R6*S13)+(R7*(R13*2)),2)</f>
        <v>0</v>
      </c>
    </row>
    <row r="14" spans="1:21" ht="18.75" customHeight="1">
      <c r="A14" s="231"/>
      <c r="B14" s="84"/>
      <c r="C14" s="61" t="s">
        <v>38</v>
      </c>
      <c r="D14" s="62"/>
      <c r="E14" s="63">
        <v>20</v>
      </c>
      <c r="F14" s="64" t="s">
        <v>39</v>
      </c>
      <c r="G14" s="88"/>
      <c r="H14" s="92" t="s">
        <v>38</v>
      </c>
      <c r="I14" s="62"/>
      <c r="J14" s="64">
        <f>ROUNDUP(E14*0.75,2)</f>
        <v>15</v>
      </c>
      <c r="K14" s="64" t="s">
        <v>39</v>
      </c>
      <c r="L14" s="64"/>
      <c r="M14" s="64">
        <f>ROUNDUP((R5*E14)+(R6*J14)+(R7*(E14*2)),2)</f>
        <v>0</v>
      </c>
      <c r="N14" s="96">
        <f>ROUND(M14+(M14*6/100),2)</f>
        <v>0</v>
      </c>
      <c r="O14" s="100" t="s">
        <v>262</v>
      </c>
      <c r="P14" s="65" t="s">
        <v>92</v>
      </c>
      <c r="Q14" s="62"/>
      <c r="R14" s="66">
        <v>3</v>
      </c>
      <c r="S14" s="63">
        <f t="shared" si="0"/>
        <v>2.25</v>
      </c>
      <c r="T14" s="80">
        <f>ROUNDUP((R5*R14)+(R6*S14)+(R7*(R14*2)),2)</f>
        <v>0</v>
      </c>
    </row>
    <row r="15" spans="1:21" ht="18.75" customHeight="1">
      <c r="A15" s="231"/>
      <c r="B15" s="84"/>
      <c r="C15" s="61" t="s">
        <v>163</v>
      </c>
      <c r="D15" s="62"/>
      <c r="E15" s="63">
        <v>0.5</v>
      </c>
      <c r="F15" s="64" t="s">
        <v>39</v>
      </c>
      <c r="G15" s="88"/>
      <c r="H15" s="92" t="s">
        <v>163</v>
      </c>
      <c r="I15" s="62"/>
      <c r="J15" s="64">
        <f>ROUNDUP(E15*0.75,2)</f>
        <v>0.38</v>
      </c>
      <c r="K15" s="64" t="s">
        <v>39</v>
      </c>
      <c r="L15" s="64"/>
      <c r="M15" s="64">
        <f>ROUNDUP((R5*E15)+(R6*J15)+(R7*(E15*2)),2)</f>
        <v>0</v>
      </c>
      <c r="N15" s="96">
        <f>ROUND(M15+(M15*10/100),2)</f>
        <v>0</v>
      </c>
      <c r="O15" s="36" t="s">
        <v>263</v>
      </c>
      <c r="P15" s="65" t="s">
        <v>37</v>
      </c>
      <c r="Q15" s="62"/>
      <c r="R15" s="66">
        <v>4</v>
      </c>
      <c r="S15" s="63">
        <f t="shared" si="0"/>
        <v>3</v>
      </c>
      <c r="T15" s="80">
        <f>ROUNDUP((R5*R15)+(R6*S15)+(R7*(R15*2)),2)</f>
        <v>0</v>
      </c>
    </row>
    <row r="16" spans="1:21" ht="18.75" customHeight="1">
      <c r="A16" s="231"/>
      <c r="B16" s="84"/>
      <c r="C16" s="61"/>
      <c r="D16" s="62"/>
      <c r="E16" s="63"/>
      <c r="F16" s="64"/>
      <c r="G16" s="88"/>
      <c r="H16" s="92"/>
      <c r="I16" s="62"/>
      <c r="J16" s="64"/>
      <c r="K16" s="64"/>
      <c r="L16" s="64"/>
      <c r="M16" s="64"/>
      <c r="N16" s="96"/>
      <c r="O16" s="84" t="s">
        <v>32</v>
      </c>
      <c r="P16" s="65" t="s">
        <v>37</v>
      </c>
      <c r="Q16" s="62"/>
      <c r="R16" s="66">
        <v>1</v>
      </c>
      <c r="S16" s="63">
        <f t="shared" si="0"/>
        <v>0.75</v>
      </c>
      <c r="T16" s="80">
        <f>ROUNDUP((R5*R16)+(R6*S16)+(R7*(R16*2)),2)</f>
        <v>0</v>
      </c>
    </row>
    <row r="17" spans="1:20" ht="18.75" customHeight="1">
      <c r="A17" s="231"/>
      <c r="B17" s="84"/>
      <c r="C17" s="61"/>
      <c r="D17" s="62"/>
      <c r="E17" s="63"/>
      <c r="F17" s="64"/>
      <c r="G17" s="88"/>
      <c r="H17" s="92"/>
      <c r="I17" s="62"/>
      <c r="J17" s="64"/>
      <c r="K17" s="64"/>
      <c r="L17" s="64"/>
      <c r="M17" s="64"/>
      <c r="N17" s="96"/>
      <c r="O17" s="84"/>
      <c r="P17" s="65" t="s">
        <v>36</v>
      </c>
      <c r="Q17" s="62"/>
      <c r="R17" s="66">
        <v>0.05</v>
      </c>
      <c r="S17" s="63">
        <f t="shared" si="0"/>
        <v>0.04</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164</v>
      </c>
      <c r="C19" s="61" t="s">
        <v>108</v>
      </c>
      <c r="D19" s="62"/>
      <c r="E19" s="63">
        <v>20</v>
      </c>
      <c r="F19" s="64" t="s">
        <v>39</v>
      </c>
      <c r="G19" s="88"/>
      <c r="H19" s="92" t="s">
        <v>108</v>
      </c>
      <c r="I19" s="62"/>
      <c r="J19" s="64">
        <f>ROUNDUP(E19*0.75,2)</f>
        <v>15</v>
      </c>
      <c r="K19" s="64" t="s">
        <v>39</v>
      </c>
      <c r="L19" s="64"/>
      <c r="M19" s="64">
        <f>ROUNDUP((R5*E19)+(R6*J19)+(R7*(E19*2)),2)</f>
        <v>0</v>
      </c>
      <c r="N19" s="96">
        <f>M19</f>
        <v>0</v>
      </c>
      <c r="O19" s="84" t="s">
        <v>165</v>
      </c>
      <c r="P19" s="65" t="s">
        <v>109</v>
      </c>
      <c r="Q19" s="62"/>
      <c r="R19" s="66">
        <v>0.5</v>
      </c>
      <c r="S19" s="63">
        <f>ROUNDUP(R19*0.75,2)</f>
        <v>0.38</v>
      </c>
      <c r="T19" s="80">
        <f>ROUNDUP((R5*R19)+(R6*S19)+(R7*(R19*2)),2)</f>
        <v>0</v>
      </c>
    </row>
    <row r="20" spans="1:20" ht="18.75" customHeight="1">
      <c r="A20" s="231"/>
      <c r="B20" s="84"/>
      <c r="C20" s="61" t="s">
        <v>116</v>
      </c>
      <c r="D20" s="62"/>
      <c r="E20" s="63">
        <v>30</v>
      </c>
      <c r="F20" s="64" t="s">
        <v>39</v>
      </c>
      <c r="G20" s="88"/>
      <c r="H20" s="92" t="s">
        <v>116</v>
      </c>
      <c r="I20" s="62"/>
      <c r="J20" s="64">
        <f>ROUNDUP(E20*0.75,2)</f>
        <v>22.5</v>
      </c>
      <c r="K20" s="64" t="s">
        <v>39</v>
      </c>
      <c r="L20" s="64"/>
      <c r="M20" s="64">
        <f>ROUNDUP((R5*E20)+(R6*J20)+(R7*(E20*2)),2)</f>
        <v>0</v>
      </c>
      <c r="N20" s="96">
        <f>ROUND(M20+(M20*10/100),2)</f>
        <v>0</v>
      </c>
      <c r="O20" s="84" t="s">
        <v>166</v>
      </c>
      <c r="P20" s="65" t="s">
        <v>37</v>
      </c>
      <c r="Q20" s="62"/>
      <c r="R20" s="66">
        <v>1.5</v>
      </c>
      <c r="S20" s="63">
        <f>ROUNDUP(R20*0.75,2)</f>
        <v>1.1300000000000001</v>
      </c>
      <c r="T20" s="80">
        <f>ROUNDUP((R5*R20)+(R6*S20)+(R7*(R20*2)),2)</f>
        <v>0</v>
      </c>
    </row>
    <row r="21" spans="1:20" ht="18.75" customHeight="1">
      <c r="A21" s="231"/>
      <c r="B21" s="84"/>
      <c r="C21" s="61" t="s">
        <v>54</v>
      </c>
      <c r="D21" s="62"/>
      <c r="E21" s="63">
        <v>10</v>
      </c>
      <c r="F21" s="64" t="s">
        <v>39</v>
      </c>
      <c r="G21" s="88"/>
      <c r="H21" s="92" t="s">
        <v>54</v>
      </c>
      <c r="I21" s="62"/>
      <c r="J21" s="64">
        <f>ROUNDUP(E21*0.75,2)</f>
        <v>7.5</v>
      </c>
      <c r="K21" s="64" t="s">
        <v>39</v>
      </c>
      <c r="L21" s="64"/>
      <c r="M21" s="64">
        <f>ROUNDUP((R5*E21)+(R6*J21)+(R7*(E21*2)),2)</f>
        <v>0</v>
      </c>
      <c r="N21" s="96">
        <f>ROUND(M21+(M21*10/100),2)</f>
        <v>0</v>
      </c>
      <c r="O21" s="84" t="s">
        <v>167</v>
      </c>
      <c r="P21" s="65" t="s">
        <v>62</v>
      </c>
      <c r="Q21" s="62"/>
      <c r="R21" s="66">
        <v>30</v>
      </c>
      <c r="S21" s="63">
        <f>ROUNDUP(R21*0.75,2)</f>
        <v>22.5</v>
      </c>
      <c r="T21" s="80">
        <f>ROUNDUP((R5*R21)+(R6*S21)+(R7*(R21*2)),2)</f>
        <v>0</v>
      </c>
    </row>
    <row r="22" spans="1:20" ht="18.75" customHeight="1">
      <c r="A22" s="231"/>
      <c r="B22" s="84"/>
      <c r="C22" s="61"/>
      <c r="D22" s="62"/>
      <c r="E22" s="63"/>
      <c r="F22" s="64"/>
      <c r="G22" s="88"/>
      <c r="H22" s="92"/>
      <c r="I22" s="62"/>
      <c r="J22" s="64"/>
      <c r="K22" s="64"/>
      <c r="L22" s="64"/>
      <c r="M22" s="64"/>
      <c r="N22" s="96"/>
      <c r="O22" s="84" t="s">
        <v>32</v>
      </c>
      <c r="P22" s="65" t="s">
        <v>57</v>
      </c>
      <c r="Q22" s="62"/>
      <c r="R22" s="66">
        <v>1</v>
      </c>
      <c r="S22" s="63">
        <f>ROUNDUP(R22*0.75,2)</f>
        <v>0.75</v>
      </c>
      <c r="T22" s="80">
        <f>ROUNDUP((R5*R22)+(R6*S22)+(R7*(R22*2)),2)</f>
        <v>0</v>
      </c>
    </row>
    <row r="23" spans="1:20" ht="18.75" customHeight="1">
      <c r="A23" s="231"/>
      <c r="B23" s="84"/>
      <c r="C23" s="61"/>
      <c r="D23" s="62"/>
      <c r="E23" s="63"/>
      <c r="F23" s="64"/>
      <c r="G23" s="88"/>
      <c r="H23" s="92"/>
      <c r="I23" s="62"/>
      <c r="J23" s="64"/>
      <c r="K23" s="64"/>
      <c r="L23" s="64"/>
      <c r="M23" s="64"/>
      <c r="N23" s="96"/>
      <c r="O23" s="84"/>
      <c r="P23" s="65" t="s">
        <v>58</v>
      </c>
      <c r="Q23" s="62" t="s">
        <v>27</v>
      </c>
      <c r="R23" s="66">
        <v>1</v>
      </c>
      <c r="S23" s="63">
        <f>ROUNDUP(R23*0.75,2)</f>
        <v>0.75</v>
      </c>
      <c r="T23" s="80">
        <f>ROUNDUP((R5*R23)+(R6*S23)+(R7*(R23*2)),2)</f>
        <v>0</v>
      </c>
    </row>
    <row r="24" spans="1:20" ht="18.75" customHeight="1">
      <c r="A24" s="231"/>
      <c r="B24" s="83"/>
      <c r="C24" s="55"/>
      <c r="D24" s="56"/>
      <c r="E24" s="57"/>
      <c r="F24" s="58"/>
      <c r="G24" s="87"/>
      <c r="H24" s="91"/>
      <c r="I24" s="56"/>
      <c r="J24" s="58"/>
      <c r="K24" s="58"/>
      <c r="L24" s="58"/>
      <c r="M24" s="58"/>
      <c r="N24" s="95"/>
      <c r="O24" s="83"/>
      <c r="P24" s="59"/>
      <c r="Q24" s="56"/>
      <c r="R24" s="60"/>
      <c r="S24" s="57"/>
      <c r="T24" s="79"/>
    </row>
    <row r="25" spans="1:20" ht="18.75" customHeight="1">
      <c r="A25" s="231"/>
      <c r="B25" s="84" t="s">
        <v>59</v>
      </c>
      <c r="C25" s="61" t="s">
        <v>70</v>
      </c>
      <c r="D25" s="62" t="s">
        <v>71</v>
      </c>
      <c r="E25" s="98">
        <v>0.25</v>
      </c>
      <c r="F25" s="64" t="s">
        <v>67</v>
      </c>
      <c r="G25" s="88"/>
      <c r="H25" s="92" t="s">
        <v>70</v>
      </c>
      <c r="I25" s="62" t="s">
        <v>71</v>
      </c>
      <c r="J25" s="64">
        <f>ROUNDUP(E25*0.75,2)</f>
        <v>0.19</v>
      </c>
      <c r="K25" s="64" t="s">
        <v>67</v>
      </c>
      <c r="L25" s="64"/>
      <c r="M25" s="64">
        <f>ROUNDUP((R5*E25)+(R6*J25)+(R7*(E25*2)),2)</f>
        <v>0</v>
      </c>
      <c r="N25" s="96">
        <f>M25</f>
        <v>0</v>
      </c>
      <c r="O25" s="84" t="s">
        <v>32</v>
      </c>
      <c r="P25" s="65" t="s">
        <v>62</v>
      </c>
      <c r="Q25" s="62"/>
      <c r="R25" s="66">
        <v>100</v>
      </c>
      <c r="S25" s="63">
        <f>ROUNDUP(R25*0.75,2)</f>
        <v>75</v>
      </c>
      <c r="T25" s="80">
        <f>ROUNDUP((R5*R25)+(R6*S25)+(R7*(R25*2)),2)</f>
        <v>0</v>
      </c>
    </row>
    <row r="26" spans="1:20" ht="18.75" customHeight="1">
      <c r="A26" s="231"/>
      <c r="B26" s="84"/>
      <c r="C26" s="61" t="s">
        <v>127</v>
      </c>
      <c r="D26" s="62" t="s">
        <v>27</v>
      </c>
      <c r="E26" s="67">
        <v>0.1</v>
      </c>
      <c r="F26" s="64" t="s">
        <v>29</v>
      </c>
      <c r="G26" s="88"/>
      <c r="H26" s="92" t="s">
        <v>127</v>
      </c>
      <c r="I26" s="62" t="s">
        <v>27</v>
      </c>
      <c r="J26" s="64">
        <f>ROUNDUP(E26*0.75,2)</f>
        <v>0.08</v>
      </c>
      <c r="K26" s="64" t="s">
        <v>29</v>
      </c>
      <c r="L26" s="64"/>
      <c r="M26" s="64">
        <f>ROUNDUP((R5*E26)+(R6*J26)+(R7*(E26*2)),2)</f>
        <v>0</v>
      </c>
      <c r="N26" s="96">
        <f>M26</f>
        <v>0</v>
      </c>
      <c r="O26" s="84"/>
      <c r="P26" s="65" t="s">
        <v>63</v>
      </c>
      <c r="Q26" s="62"/>
      <c r="R26" s="66">
        <v>3</v>
      </c>
      <c r="S26" s="63">
        <f>ROUNDUP(R26*0.75,2)</f>
        <v>2.25</v>
      </c>
      <c r="T26" s="80">
        <f>ROUNDUP((R5*R26)+(R6*S26)+(R7*(R26*2)),2)</f>
        <v>0</v>
      </c>
    </row>
    <row r="27" spans="1:20" ht="18.75" customHeight="1">
      <c r="A27" s="231"/>
      <c r="B27" s="83"/>
      <c r="C27" s="55"/>
      <c r="D27" s="56"/>
      <c r="E27" s="57"/>
      <c r="F27" s="58"/>
      <c r="G27" s="87"/>
      <c r="H27" s="91"/>
      <c r="I27" s="56"/>
      <c r="J27" s="58"/>
      <c r="K27" s="58"/>
      <c r="L27" s="58"/>
      <c r="M27" s="58"/>
      <c r="N27" s="95"/>
      <c r="O27" s="83"/>
      <c r="P27" s="59"/>
      <c r="Q27" s="56"/>
      <c r="R27" s="60"/>
      <c r="S27" s="57"/>
      <c r="T27" s="79"/>
    </row>
    <row r="28" spans="1:20" ht="18.75" customHeight="1">
      <c r="A28" s="231"/>
      <c r="B28" s="84" t="s">
        <v>64</v>
      </c>
      <c r="C28" s="61" t="s">
        <v>66</v>
      </c>
      <c r="D28" s="62"/>
      <c r="E28" s="68">
        <v>0.16666666666666666</v>
      </c>
      <c r="F28" s="64" t="s">
        <v>67</v>
      </c>
      <c r="G28" s="88"/>
      <c r="H28" s="92" t="s">
        <v>66</v>
      </c>
      <c r="I28" s="62"/>
      <c r="J28" s="64">
        <f>ROUNDUP(E28*0.75,2)</f>
        <v>0.13</v>
      </c>
      <c r="K28" s="64" t="s">
        <v>67</v>
      </c>
      <c r="L28" s="64"/>
      <c r="M28" s="64">
        <f>ROUNDUP((R5*E28)+(R6*J28)+(R7*(E28*2)),2)</f>
        <v>0</v>
      </c>
      <c r="N28" s="96">
        <f>M28</f>
        <v>0</v>
      </c>
      <c r="O28" s="84" t="s">
        <v>65</v>
      </c>
      <c r="P28" s="65"/>
      <c r="Q28" s="62"/>
      <c r="R28" s="66"/>
      <c r="S28" s="63"/>
      <c r="T28" s="80"/>
    </row>
    <row r="29" spans="1:20" ht="18.75" customHeight="1" thickBot="1">
      <c r="A29" s="232"/>
      <c r="B29" s="85"/>
      <c r="C29" s="69"/>
      <c r="D29" s="70"/>
      <c r="E29" s="71"/>
      <c r="F29" s="72"/>
      <c r="G29" s="89"/>
      <c r="H29" s="93"/>
      <c r="I29" s="70"/>
      <c r="J29" s="72"/>
      <c r="K29" s="72"/>
      <c r="L29" s="72"/>
      <c r="M29" s="72"/>
      <c r="N29" s="97"/>
      <c r="O29" s="85"/>
      <c r="P29" s="73"/>
      <c r="Q29" s="70"/>
      <c r="R29" s="74"/>
      <c r="S29" s="71"/>
      <c r="T29" s="81"/>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175</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176</v>
      </c>
      <c r="C10" s="48" t="s">
        <v>179</v>
      </c>
      <c r="D10" s="49"/>
      <c r="E10" s="54">
        <v>10</v>
      </c>
      <c r="F10" s="51" t="s">
        <v>39</v>
      </c>
      <c r="G10" s="86"/>
      <c r="H10" s="90" t="s">
        <v>179</v>
      </c>
      <c r="I10" s="49"/>
      <c r="J10" s="51">
        <f>ROUNDUP(E10*0.75,2)</f>
        <v>7.5</v>
      </c>
      <c r="K10" s="51" t="s">
        <v>39</v>
      </c>
      <c r="L10" s="51"/>
      <c r="M10" s="51">
        <f>ROUNDUP((R5*E10)+(R6*J10)+(R7*(E10*2)),2)</f>
        <v>0</v>
      </c>
      <c r="N10" s="94">
        <f>M10</f>
        <v>0</v>
      </c>
      <c r="O10" s="82" t="s">
        <v>177</v>
      </c>
      <c r="P10" s="52" t="s">
        <v>25</v>
      </c>
      <c r="Q10" s="49"/>
      <c r="R10" s="53">
        <v>110</v>
      </c>
      <c r="S10" s="54">
        <f>ROUNDUP(R10*0.75,2)</f>
        <v>82.5</v>
      </c>
      <c r="T10" s="78">
        <f>ROUNDUP((R5*R10)+(R6*S10)+(R7*(R10*2)),2)</f>
        <v>0</v>
      </c>
    </row>
    <row r="11" spans="1:21" ht="18.75" customHeight="1">
      <c r="A11" s="231"/>
      <c r="B11" s="84"/>
      <c r="C11" s="61"/>
      <c r="D11" s="62"/>
      <c r="E11" s="63"/>
      <c r="F11" s="64"/>
      <c r="G11" s="88"/>
      <c r="H11" s="92"/>
      <c r="I11" s="62"/>
      <c r="J11" s="64"/>
      <c r="K11" s="64"/>
      <c r="L11" s="64"/>
      <c r="M11" s="64"/>
      <c r="N11" s="96"/>
      <c r="O11" s="84" t="s">
        <v>178</v>
      </c>
      <c r="P11" s="65" t="s">
        <v>42</v>
      </c>
      <c r="Q11" s="62" t="s">
        <v>43</v>
      </c>
      <c r="R11" s="66">
        <v>1</v>
      </c>
      <c r="S11" s="63">
        <f>ROUNDUP(R11*0.75,2)</f>
        <v>0.75</v>
      </c>
      <c r="T11" s="80">
        <f>ROUNDUP((R5*R11)+(R6*S11)+(R7*(R11*2)),2)</f>
        <v>0</v>
      </c>
    </row>
    <row r="12" spans="1:21" ht="18.75" customHeight="1">
      <c r="A12" s="231"/>
      <c r="B12" s="84"/>
      <c r="C12" s="61"/>
      <c r="D12" s="62"/>
      <c r="E12" s="63"/>
      <c r="F12" s="64"/>
      <c r="G12" s="88"/>
      <c r="H12" s="92"/>
      <c r="I12" s="62"/>
      <c r="J12" s="64"/>
      <c r="K12" s="64"/>
      <c r="L12" s="64"/>
      <c r="M12" s="64"/>
      <c r="N12" s="96"/>
      <c r="O12" s="84" t="s">
        <v>32</v>
      </c>
      <c r="P12" s="65" t="s">
        <v>149</v>
      </c>
      <c r="Q12" s="62" t="s">
        <v>150</v>
      </c>
      <c r="R12" s="66">
        <v>0.5</v>
      </c>
      <c r="S12" s="63">
        <f>ROUNDUP(R12*0.75,2)</f>
        <v>0.38</v>
      </c>
      <c r="T12" s="80">
        <f>ROUNDUP((R5*R12)+(R6*S12)+(R7*(R12*2)),2)</f>
        <v>0</v>
      </c>
    </row>
    <row r="13" spans="1:21" ht="18.75" customHeight="1">
      <c r="A13" s="231"/>
      <c r="B13" s="83"/>
      <c r="C13" s="55"/>
      <c r="D13" s="56"/>
      <c r="E13" s="57"/>
      <c r="F13" s="58"/>
      <c r="G13" s="87"/>
      <c r="H13" s="91"/>
      <c r="I13" s="56"/>
      <c r="J13" s="58"/>
      <c r="K13" s="58"/>
      <c r="L13" s="58"/>
      <c r="M13" s="58"/>
      <c r="N13" s="95"/>
      <c r="O13" s="83"/>
      <c r="P13" s="59"/>
      <c r="Q13" s="56"/>
      <c r="R13" s="60"/>
      <c r="S13" s="57"/>
      <c r="T13" s="79"/>
    </row>
    <row r="14" spans="1:21" ht="18.75" customHeight="1">
      <c r="A14" s="231"/>
      <c r="B14" s="84" t="s">
        <v>265</v>
      </c>
      <c r="C14" s="61" t="s">
        <v>87</v>
      </c>
      <c r="D14" s="62"/>
      <c r="E14" s="63">
        <v>30</v>
      </c>
      <c r="F14" s="64" t="s">
        <v>39</v>
      </c>
      <c r="G14" s="88" t="s">
        <v>88</v>
      </c>
      <c r="H14" s="92" t="s">
        <v>87</v>
      </c>
      <c r="I14" s="62"/>
      <c r="J14" s="64">
        <f t="shared" ref="J14:J20" si="0">ROUNDUP(E14*0.75,2)</f>
        <v>22.5</v>
      </c>
      <c r="K14" s="64" t="s">
        <v>39</v>
      </c>
      <c r="L14" s="64" t="s">
        <v>88</v>
      </c>
      <c r="M14" s="64">
        <f>ROUNDUP((R5*E14)+(R6*J14)+(R7*(E14*2)),2)</f>
        <v>0</v>
      </c>
      <c r="N14" s="96">
        <f>M14</f>
        <v>0</v>
      </c>
      <c r="O14" s="84" t="s">
        <v>180</v>
      </c>
      <c r="P14" s="65" t="s">
        <v>37</v>
      </c>
      <c r="Q14" s="62"/>
      <c r="R14" s="66">
        <v>2</v>
      </c>
      <c r="S14" s="63">
        <f>ROUNDUP(R14*0.75,2)</f>
        <v>1.5</v>
      </c>
      <c r="T14" s="80">
        <f>ROUNDUP((R5*R14)+(R6*S14)+(R7*(R14*2)),2)</f>
        <v>0</v>
      </c>
    </row>
    <row r="15" spans="1:21" ht="18.75" customHeight="1">
      <c r="A15" s="231"/>
      <c r="B15" s="84" t="s">
        <v>266</v>
      </c>
      <c r="C15" s="61" t="s">
        <v>38</v>
      </c>
      <c r="D15" s="62"/>
      <c r="E15" s="63">
        <v>40</v>
      </c>
      <c r="F15" s="64" t="s">
        <v>39</v>
      </c>
      <c r="G15" s="88"/>
      <c r="H15" s="92" t="s">
        <v>38</v>
      </c>
      <c r="I15" s="62"/>
      <c r="J15" s="64">
        <f t="shared" si="0"/>
        <v>30</v>
      </c>
      <c r="K15" s="64" t="s">
        <v>39</v>
      </c>
      <c r="L15" s="64"/>
      <c r="M15" s="64">
        <f>ROUNDUP((R5*E15)+(R6*J15)+(R7*(E15*2)),2)</f>
        <v>0</v>
      </c>
      <c r="N15" s="96">
        <f>ROUND(M15+(M15*6/100),2)</f>
        <v>0</v>
      </c>
      <c r="O15" s="84" t="s">
        <v>181</v>
      </c>
      <c r="P15" s="65" t="s">
        <v>74</v>
      </c>
      <c r="Q15" s="62"/>
      <c r="R15" s="66">
        <v>60</v>
      </c>
      <c r="S15" s="63">
        <f>ROUNDUP(R15*0.75,2)</f>
        <v>45</v>
      </c>
      <c r="T15" s="80">
        <f>ROUNDUP((R5*R15)+(R6*S15)+(R7*(R15*2)),2)</f>
        <v>0</v>
      </c>
    </row>
    <row r="16" spans="1:21" ht="18.75" customHeight="1">
      <c r="A16" s="231"/>
      <c r="B16" s="84"/>
      <c r="C16" s="61" t="s">
        <v>97</v>
      </c>
      <c r="D16" s="62"/>
      <c r="E16" s="63">
        <v>30</v>
      </c>
      <c r="F16" s="64" t="s">
        <v>39</v>
      </c>
      <c r="G16" s="88"/>
      <c r="H16" s="92" t="s">
        <v>97</v>
      </c>
      <c r="I16" s="62"/>
      <c r="J16" s="64">
        <f t="shared" si="0"/>
        <v>22.5</v>
      </c>
      <c r="K16" s="64" t="s">
        <v>39</v>
      </c>
      <c r="L16" s="64"/>
      <c r="M16" s="64">
        <f>ROUNDUP((R5*E16)+(R6*J16)+(R7*(E16*2)),2)</f>
        <v>0</v>
      </c>
      <c r="N16" s="96">
        <f>ROUND(M16+(M16*10/100),2)</f>
        <v>0</v>
      </c>
      <c r="O16" s="84" t="s">
        <v>182</v>
      </c>
      <c r="P16" s="65"/>
      <c r="Q16" s="62"/>
      <c r="R16" s="66"/>
      <c r="S16" s="63"/>
      <c r="T16" s="80"/>
    </row>
    <row r="17" spans="1:20" ht="18.75" customHeight="1">
      <c r="A17" s="231"/>
      <c r="B17" s="84"/>
      <c r="C17" s="61" t="s">
        <v>54</v>
      </c>
      <c r="D17" s="62"/>
      <c r="E17" s="63">
        <v>10</v>
      </c>
      <c r="F17" s="64" t="s">
        <v>39</v>
      </c>
      <c r="G17" s="88"/>
      <c r="H17" s="92" t="s">
        <v>54</v>
      </c>
      <c r="I17" s="62"/>
      <c r="J17" s="64">
        <f t="shared" si="0"/>
        <v>7.5</v>
      </c>
      <c r="K17" s="64" t="s">
        <v>39</v>
      </c>
      <c r="L17" s="64"/>
      <c r="M17" s="64">
        <f>ROUNDUP((R5*E17)+(R6*J17)+(R7*(E17*2)),2)</f>
        <v>0</v>
      </c>
      <c r="N17" s="96">
        <f>ROUND(M17+(M17*10/100),2)</f>
        <v>0</v>
      </c>
      <c r="O17" s="84" t="s">
        <v>115</v>
      </c>
      <c r="P17" s="65"/>
      <c r="Q17" s="62"/>
      <c r="R17" s="66"/>
      <c r="S17" s="63"/>
      <c r="T17" s="80"/>
    </row>
    <row r="18" spans="1:20" ht="18.75" customHeight="1">
      <c r="A18" s="231"/>
      <c r="B18" s="84"/>
      <c r="C18" s="61" t="s">
        <v>183</v>
      </c>
      <c r="D18" s="62"/>
      <c r="E18" s="63">
        <v>10</v>
      </c>
      <c r="F18" s="64" t="s">
        <v>39</v>
      </c>
      <c r="G18" s="88" t="s">
        <v>103</v>
      </c>
      <c r="H18" s="92" t="s">
        <v>183</v>
      </c>
      <c r="I18" s="62"/>
      <c r="J18" s="64">
        <f t="shared" si="0"/>
        <v>7.5</v>
      </c>
      <c r="K18" s="64" t="s">
        <v>39</v>
      </c>
      <c r="L18" s="64" t="s">
        <v>103</v>
      </c>
      <c r="M18" s="64">
        <f>ROUNDUP((R5*E18)+(R6*J18)+(R7*(E18*2)),2)</f>
        <v>0</v>
      </c>
      <c r="N18" s="96">
        <f>M18</f>
        <v>0</v>
      </c>
      <c r="O18" s="100" t="s">
        <v>258</v>
      </c>
      <c r="P18" s="65"/>
      <c r="Q18" s="62"/>
      <c r="R18" s="66"/>
      <c r="S18" s="63"/>
      <c r="T18" s="80"/>
    </row>
    <row r="19" spans="1:20" ht="18.75" customHeight="1">
      <c r="A19" s="231"/>
      <c r="B19" s="84"/>
      <c r="C19" s="61" t="s">
        <v>184</v>
      </c>
      <c r="D19" s="62" t="s">
        <v>150</v>
      </c>
      <c r="E19" s="63">
        <v>9</v>
      </c>
      <c r="F19" s="64" t="s">
        <v>39</v>
      </c>
      <c r="G19" s="88"/>
      <c r="H19" s="92" t="s">
        <v>184</v>
      </c>
      <c r="I19" s="62" t="s">
        <v>150</v>
      </c>
      <c r="J19" s="64">
        <f t="shared" si="0"/>
        <v>6.75</v>
      </c>
      <c r="K19" s="64" t="s">
        <v>39</v>
      </c>
      <c r="L19" s="64"/>
      <c r="M19" s="64">
        <f>ROUNDUP((R5*E19)+(R6*J19)+(R7*(E19*2)),2)</f>
        <v>0</v>
      </c>
      <c r="N19" s="96">
        <f>M19</f>
        <v>0</v>
      </c>
      <c r="O19" s="36" t="s">
        <v>259</v>
      </c>
      <c r="P19" s="65"/>
      <c r="Q19" s="62"/>
      <c r="R19" s="66"/>
      <c r="S19" s="63"/>
      <c r="T19" s="80"/>
    </row>
    <row r="20" spans="1:20" ht="18.75" customHeight="1">
      <c r="A20" s="231"/>
      <c r="B20" s="84"/>
      <c r="C20" s="61" t="s">
        <v>45</v>
      </c>
      <c r="D20" s="62" t="s">
        <v>43</v>
      </c>
      <c r="E20" s="63">
        <v>40</v>
      </c>
      <c r="F20" s="64" t="s">
        <v>46</v>
      </c>
      <c r="G20" s="88"/>
      <c r="H20" s="92" t="s">
        <v>45</v>
      </c>
      <c r="I20" s="62" t="s">
        <v>43</v>
      </c>
      <c r="J20" s="64">
        <f t="shared" si="0"/>
        <v>30</v>
      </c>
      <c r="K20" s="64" t="s">
        <v>46</v>
      </c>
      <c r="L20" s="64"/>
      <c r="M20" s="64">
        <f>ROUNDUP((R5*E20)+(R6*J20)+(R7*(E20*2)),2)</f>
        <v>0</v>
      </c>
      <c r="N20" s="96">
        <f>M20</f>
        <v>0</v>
      </c>
      <c r="O20" s="84" t="s">
        <v>32</v>
      </c>
      <c r="P20" s="65"/>
      <c r="Q20" s="62"/>
      <c r="R20" s="66"/>
      <c r="S20" s="63"/>
      <c r="T20" s="80"/>
    </row>
    <row r="21" spans="1:20" ht="18.75" customHeight="1">
      <c r="A21" s="231"/>
      <c r="B21" s="83"/>
      <c r="C21" s="55"/>
      <c r="D21" s="56"/>
      <c r="E21" s="57"/>
      <c r="F21" s="58"/>
      <c r="G21" s="87"/>
      <c r="H21" s="91"/>
      <c r="I21" s="56"/>
      <c r="J21" s="58"/>
      <c r="K21" s="58"/>
      <c r="L21" s="58"/>
      <c r="M21" s="58"/>
      <c r="N21" s="95"/>
      <c r="O21" s="83"/>
      <c r="P21" s="59"/>
      <c r="Q21" s="56"/>
      <c r="R21" s="60"/>
      <c r="S21" s="57"/>
      <c r="T21" s="79"/>
    </row>
    <row r="22" spans="1:20" ht="18.75" customHeight="1">
      <c r="A22" s="231"/>
      <c r="B22" s="84" t="s">
        <v>185</v>
      </c>
      <c r="C22" s="61" t="s">
        <v>40</v>
      </c>
      <c r="D22" s="62"/>
      <c r="E22" s="63">
        <v>40</v>
      </c>
      <c r="F22" s="64" t="s">
        <v>39</v>
      </c>
      <c r="G22" s="88"/>
      <c r="H22" s="92" t="s">
        <v>40</v>
      </c>
      <c r="I22" s="62"/>
      <c r="J22" s="64">
        <f>ROUNDUP(E22*0.75,2)</f>
        <v>30</v>
      </c>
      <c r="K22" s="64" t="s">
        <v>39</v>
      </c>
      <c r="L22" s="64"/>
      <c r="M22" s="64">
        <f>ROUNDUP((R5*E22)+(R6*J22)+(R7*(E22*2)),2)</f>
        <v>0</v>
      </c>
      <c r="N22" s="96">
        <f>M22</f>
        <v>0</v>
      </c>
      <c r="O22" s="84" t="s">
        <v>186</v>
      </c>
      <c r="P22" s="65" t="s">
        <v>57</v>
      </c>
      <c r="Q22" s="62"/>
      <c r="R22" s="66">
        <v>1</v>
      </c>
      <c r="S22" s="63">
        <f>ROUNDUP(R22*0.75,2)</f>
        <v>0.75</v>
      </c>
      <c r="T22" s="80">
        <f>ROUNDUP((R5*R22)+(R6*S22)+(R7*(R22*2)),2)</f>
        <v>0</v>
      </c>
    </row>
    <row r="23" spans="1:20" ht="18.75" customHeight="1">
      <c r="A23" s="231"/>
      <c r="B23" s="84"/>
      <c r="C23" s="61" t="s">
        <v>173</v>
      </c>
      <c r="D23" s="62"/>
      <c r="E23" s="63">
        <v>10</v>
      </c>
      <c r="F23" s="64" t="s">
        <v>39</v>
      </c>
      <c r="G23" s="88"/>
      <c r="H23" s="92" t="s">
        <v>173</v>
      </c>
      <c r="I23" s="62"/>
      <c r="J23" s="64">
        <f>ROUNDUP(E23*0.75,2)</f>
        <v>7.5</v>
      </c>
      <c r="K23" s="64" t="s">
        <v>39</v>
      </c>
      <c r="L23" s="64"/>
      <c r="M23" s="64">
        <f>ROUNDUP((R5*E23)+(R6*J23)+(R7*(E23*2)),2)</f>
        <v>0</v>
      </c>
      <c r="N23" s="96">
        <f>ROUND(M23+(M23*3/100),2)</f>
        <v>0</v>
      </c>
      <c r="O23" s="84" t="s">
        <v>187</v>
      </c>
      <c r="P23" s="65" t="s">
        <v>36</v>
      </c>
      <c r="Q23" s="62"/>
      <c r="R23" s="66">
        <v>0.1</v>
      </c>
      <c r="S23" s="63">
        <f>ROUNDUP(R23*0.75,2)</f>
        <v>0.08</v>
      </c>
      <c r="T23" s="80">
        <f>ROUNDUP((R5*R23)+(R6*S23)+(R7*(R23*2)),2)</f>
        <v>0</v>
      </c>
    </row>
    <row r="24" spans="1:20" ht="18.75" customHeight="1">
      <c r="A24" s="231"/>
      <c r="B24" s="84"/>
      <c r="C24" s="61"/>
      <c r="D24" s="62"/>
      <c r="E24" s="63"/>
      <c r="F24" s="64"/>
      <c r="G24" s="88"/>
      <c r="H24" s="92"/>
      <c r="I24" s="62"/>
      <c r="J24" s="64"/>
      <c r="K24" s="64"/>
      <c r="L24" s="64"/>
      <c r="M24" s="64"/>
      <c r="N24" s="96"/>
      <c r="O24" s="84" t="s">
        <v>32</v>
      </c>
      <c r="P24" s="65" t="s">
        <v>75</v>
      </c>
      <c r="Q24" s="62"/>
      <c r="R24" s="66">
        <v>2</v>
      </c>
      <c r="S24" s="63">
        <f>ROUNDUP(R24*0.75,2)</f>
        <v>1.5</v>
      </c>
      <c r="T24" s="80">
        <f>ROUNDUP((R5*R24)+(R6*S24)+(R7*(R24*2)),2)</f>
        <v>0</v>
      </c>
    </row>
    <row r="25" spans="1:20" ht="18.75" customHeight="1">
      <c r="A25" s="231"/>
      <c r="B25" s="84"/>
      <c r="C25" s="61"/>
      <c r="D25" s="62"/>
      <c r="E25" s="63"/>
      <c r="F25" s="64"/>
      <c r="G25" s="88"/>
      <c r="H25" s="92"/>
      <c r="I25" s="62"/>
      <c r="J25" s="64"/>
      <c r="K25" s="64"/>
      <c r="L25" s="64"/>
      <c r="M25" s="64"/>
      <c r="N25" s="96"/>
      <c r="O25" s="84"/>
      <c r="P25" s="65" t="s">
        <v>37</v>
      </c>
      <c r="Q25" s="62"/>
      <c r="R25" s="66">
        <v>2</v>
      </c>
      <c r="S25" s="63">
        <f>ROUNDUP(R25*0.75,2)</f>
        <v>1.5</v>
      </c>
      <c r="T25" s="80">
        <f>ROUNDUP((R5*R25)+(R6*S25)+(R7*(R25*2)),2)</f>
        <v>0</v>
      </c>
    </row>
    <row r="26" spans="1:20" ht="18.75" customHeight="1">
      <c r="A26" s="231"/>
      <c r="B26" s="83"/>
      <c r="C26" s="55"/>
      <c r="D26" s="56"/>
      <c r="E26" s="57"/>
      <c r="F26" s="58"/>
      <c r="G26" s="87"/>
      <c r="H26" s="91"/>
      <c r="I26" s="56"/>
      <c r="J26" s="58"/>
      <c r="K26" s="58"/>
      <c r="L26" s="58"/>
      <c r="M26" s="58"/>
      <c r="N26" s="95"/>
      <c r="O26" s="83"/>
      <c r="P26" s="59"/>
      <c r="Q26" s="56"/>
      <c r="R26" s="60"/>
      <c r="S26" s="57"/>
      <c r="T26" s="79"/>
    </row>
    <row r="27" spans="1:20" ht="18.75" customHeight="1">
      <c r="A27" s="231"/>
      <c r="B27" s="84" t="s">
        <v>64</v>
      </c>
      <c r="C27" s="61" t="s">
        <v>66</v>
      </c>
      <c r="D27" s="62"/>
      <c r="E27" s="68">
        <v>0.16666666666666666</v>
      </c>
      <c r="F27" s="64" t="s">
        <v>67</v>
      </c>
      <c r="G27" s="88"/>
      <c r="H27" s="92" t="s">
        <v>66</v>
      </c>
      <c r="I27" s="62"/>
      <c r="J27" s="64">
        <f>ROUNDUP(E27*0.75,2)</f>
        <v>0.13</v>
      </c>
      <c r="K27" s="64" t="s">
        <v>67</v>
      </c>
      <c r="L27" s="64"/>
      <c r="M27" s="64">
        <f>ROUNDUP((R5*E27)+(R6*J27)+(R7*(E27*2)),2)</f>
        <v>0</v>
      </c>
      <c r="N27" s="96">
        <f>M27</f>
        <v>0</v>
      </c>
      <c r="O27" s="84" t="s">
        <v>65</v>
      </c>
      <c r="P27" s="65"/>
      <c r="Q27" s="62"/>
      <c r="R27" s="66"/>
      <c r="S27" s="63"/>
      <c r="T27" s="80"/>
    </row>
    <row r="28" spans="1:20" ht="18.75" customHeight="1" thickBot="1">
      <c r="A28" s="232"/>
      <c r="B28" s="85"/>
      <c r="C28" s="69"/>
      <c r="D28" s="70"/>
      <c r="E28" s="71"/>
      <c r="F28" s="72"/>
      <c r="G28" s="89"/>
      <c r="H28" s="93"/>
      <c r="I28" s="70"/>
      <c r="J28" s="72"/>
      <c r="K28" s="72"/>
      <c r="L28" s="72"/>
      <c r="M28" s="72"/>
      <c r="N28" s="97"/>
      <c r="O28" s="85"/>
      <c r="P28" s="73"/>
      <c r="Q28" s="70"/>
      <c r="R28" s="74"/>
      <c r="S28" s="71"/>
      <c r="T28" s="81"/>
    </row>
  </sheetData>
  <mergeCells count="5">
    <mergeCell ref="H1:O1"/>
    <mergeCell ref="A2:T2"/>
    <mergeCell ref="Q3:T3"/>
    <mergeCell ref="A8:F8"/>
    <mergeCell ref="A10:A28"/>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188</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24</v>
      </c>
      <c r="C10" s="48" t="s">
        <v>168</v>
      </c>
      <c r="D10" s="49" t="s">
        <v>132</v>
      </c>
      <c r="E10" s="50">
        <v>0.5</v>
      </c>
      <c r="F10" s="51" t="s">
        <v>29</v>
      </c>
      <c r="G10" s="86"/>
      <c r="H10" s="90" t="s">
        <v>168</v>
      </c>
      <c r="I10" s="49" t="s">
        <v>132</v>
      </c>
      <c r="J10" s="51">
        <f>ROUNDUP(E10*0.75,2)</f>
        <v>0.38</v>
      </c>
      <c r="K10" s="51" t="s">
        <v>29</v>
      </c>
      <c r="L10" s="51"/>
      <c r="M10" s="51">
        <f>ROUNDUP((R5*E10)+(R6*J10)+(R7*(E10*2)),2)</f>
        <v>0</v>
      </c>
      <c r="N10" s="94">
        <f>M10</f>
        <v>0</v>
      </c>
      <c r="O10" s="82"/>
      <c r="P10" s="52" t="s">
        <v>25</v>
      </c>
      <c r="Q10" s="49"/>
      <c r="R10" s="53">
        <v>110</v>
      </c>
      <c r="S10" s="54">
        <f>ROUNDUP(R10*0.75,2)</f>
        <v>82.5</v>
      </c>
      <c r="T10" s="78">
        <f>ROUNDUP((R5*R10)+(R6*S10)+(R7*(R10*2)),2)</f>
        <v>0</v>
      </c>
    </row>
    <row r="11" spans="1:21" ht="18.75" customHeight="1">
      <c r="A11" s="231"/>
      <c r="B11" s="83"/>
      <c r="C11" s="55"/>
      <c r="D11" s="56"/>
      <c r="E11" s="57"/>
      <c r="F11" s="58"/>
      <c r="G11" s="87"/>
      <c r="H11" s="91"/>
      <c r="I11" s="56"/>
      <c r="J11" s="58"/>
      <c r="K11" s="58"/>
      <c r="L11" s="58"/>
      <c r="M11" s="58"/>
      <c r="N11" s="95"/>
      <c r="O11" s="83"/>
      <c r="P11" s="59"/>
      <c r="Q11" s="56"/>
      <c r="R11" s="60"/>
      <c r="S11" s="57"/>
      <c r="T11" s="79"/>
    </row>
    <row r="12" spans="1:21" ht="18.75" customHeight="1">
      <c r="A12" s="231"/>
      <c r="B12" s="84" t="s">
        <v>189</v>
      </c>
      <c r="C12" s="61" t="s">
        <v>192</v>
      </c>
      <c r="D12" s="62"/>
      <c r="E12" s="63">
        <v>1</v>
      </c>
      <c r="F12" s="64" t="s">
        <v>35</v>
      </c>
      <c r="G12" s="88" t="s">
        <v>34</v>
      </c>
      <c r="H12" s="92" t="s">
        <v>192</v>
      </c>
      <c r="I12" s="62"/>
      <c r="J12" s="64">
        <f>ROUNDUP(E12*0.75,2)</f>
        <v>0.75</v>
      </c>
      <c r="K12" s="64" t="s">
        <v>35</v>
      </c>
      <c r="L12" s="64" t="s">
        <v>34</v>
      </c>
      <c r="M12" s="64">
        <f>ROUNDUP((R5*E12)+(R6*J12)+(R7*(E12*2)),2)</f>
        <v>0</v>
      </c>
      <c r="N12" s="96">
        <f>M12</f>
        <v>0</v>
      </c>
      <c r="O12" s="100" t="s">
        <v>267</v>
      </c>
      <c r="P12" s="65" t="s">
        <v>44</v>
      </c>
      <c r="Q12" s="62" t="s">
        <v>27</v>
      </c>
      <c r="R12" s="66">
        <v>3</v>
      </c>
      <c r="S12" s="63">
        <f t="shared" ref="S12:S17" si="0">ROUNDUP(R12*0.75,2)</f>
        <v>2.25</v>
      </c>
      <c r="T12" s="80">
        <f>ROUNDUP((R5*R12)+(R6*S12)+(R7*(R12*2)),2)</f>
        <v>0</v>
      </c>
    </row>
    <row r="13" spans="1:21" ht="18.75" customHeight="1">
      <c r="A13" s="231"/>
      <c r="B13" s="84"/>
      <c r="C13" s="61" t="s">
        <v>193</v>
      </c>
      <c r="D13" s="62"/>
      <c r="E13" s="63">
        <v>10</v>
      </c>
      <c r="F13" s="64" t="s">
        <v>39</v>
      </c>
      <c r="G13" s="88"/>
      <c r="H13" s="92" t="s">
        <v>193</v>
      </c>
      <c r="I13" s="62"/>
      <c r="J13" s="64">
        <f>ROUNDUP(E13*0.75,2)</f>
        <v>7.5</v>
      </c>
      <c r="K13" s="64" t="s">
        <v>39</v>
      </c>
      <c r="L13" s="64"/>
      <c r="M13" s="64">
        <f>ROUNDUP((R5*E13)+(R6*J13)+(R7*(E13*2)),2)</f>
        <v>0</v>
      </c>
      <c r="N13" s="96">
        <f>ROUND(M13+(M13*20/100),2)</f>
        <v>0</v>
      </c>
      <c r="O13" s="36" t="s">
        <v>268</v>
      </c>
      <c r="P13" s="65" t="s">
        <v>37</v>
      </c>
      <c r="Q13" s="62"/>
      <c r="R13" s="66">
        <v>3</v>
      </c>
      <c r="S13" s="63">
        <f t="shared" si="0"/>
        <v>2.25</v>
      </c>
      <c r="T13" s="80">
        <f>ROUNDUP((R5*R13)+(R6*S13)+(R7*(R13*2)),2)</f>
        <v>0</v>
      </c>
    </row>
    <row r="14" spans="1:21" ht="18.75" customHeight="1">
      <c r="A14" s="231"/>
      <c r="B14" s="84"/>
      <c r="C14" s="61" t="s">
        <v>107</v>
      </c>
      <c r="D14" s="62"/>
      <c r="E14" s="63">
        <v>10</v>
      </c>
      <c r="F14" s="64" t="s">
        <v>39</v>
      </c>
      <c r="G14" s="88"/>
      <c r="H14" s="92" t="s">
        <v>107</v>
      </c>
      <c r="I14" s="62"/>
      <c r="J14" s="64">
        <f>ROUNDUP(E14*0.75,2)</f>
        <v>7.5</v>
      </c>
      <c r="K14" s="64" t="s">
        <v>39</v>
      </c>
      <c r="L14" s="64"/>
      <c r="M14" s="64">
        <f>ROUNDUP((R5*E14)+(R6*J14)+(R7*(E14*2)),2)</f>
        <v>0</v>
      </c>
      <c r="N14" s="96">
        <f>ROUND(M14+(M14*10/100),2)</f>
        <v>0</v>
      </c>
      <c r="O14" s="84" t="s">
        <v>190</v>
      </c>
      <c r="P14" s="65" t="s">
        <v>74</v>
      </c>
      <c r="Q14" s="62"/>
      <c r="R14" s="66">
        <v>3</v>
      </c>
      <c r="S14" s="63">
        <f t="shared" si="0"/>
        <v>2.25</v>
      </c>
      <c r="T14" s="80">
        <f>ROUNDUP((R5*R14)+(R6*S14)+(R7*(R14*2)),2)</f>
        <v>0</v>
      </c>
    </row>
    <row r="15" spans="1:21" ht="18.75" customHeight="1">
      <c r="A15" s="231"/>
      <c r="B15" s="84"/>
      <c r="C15" s="61" t="s">
        <v>194</v>
      </c>
      <c r="D15" s="62"/>
      <c r="E15" s="63">
        <v>5</v>
      </c>
      <c r="F15" s="64" t="s">
        <v>39</v>
      </c>
      <c r="G15" s="88"/>
      <c r="H15" s="92" t="s">
        <v>194</v>
      </c>
      <c r="I15" s="62"/>
      <c r="J15" s="64">
        <f>ROUNDUP(E15*0.75,2)</f>
        <v>3.75</v>
      </c>
      <c r="K15" s="64" t="s">
        <v>39</v>
      </c>
      <c r="L15" s="64"/>
      <c r="M15" s="64">
        <f>ROUNDUP((R5*E15)+(R6*J15)+(R7*(E15*2)),2)</f>
        <v>0</v>
      </c>
      <c r="N15" s="96">
        <f>ROUND(M15+(M15*15/100),2)</f>
        <v>0</v>
      </c>
      <c r="O15" s="84" t="s">
        <v>191</v>
      </c>
      <c r="P15" s="65" t="s">
        <v>58</v>
      </c>
      <c r="Q15" s="62" t="s">
        <v>27</v>
      </c>
      <c r="R15" s="66">
        <v>1.5</v>
      </c>
      <c r="S15" s="63">
        <f t="shared" si="0"/>
        <v>1.1300000000000001</v>
      </c>
      <c r="T15" s="80">
        <f>ROUNDUP((R5*R15)+(R6*S15)+(R7*(R15*2)),2)</f>
        <v>0</v>
      </c>
    </row>
    <row r="16" spans="1:21" ht="18.75" customHeight="1">
      <c r="A16" s="231"/>
      <c r="B16" s="84"/>
      <c r="C16" s="61" t="s">
        <v>110</v>
      </c>
      <c r="D16" s="62"/>
      <c r="E16" s="63">
        <v>1</v>
      </c>
      <c r="F16" s="64" t="s">
        <v>39</v>
      </c>
      <c r="G16" s="88"/>
      <c r="H16" s="92" t="s">
        <v>110</v>
      </c>
      <c r="I16" s="62"/>
      <c r="J16" s="64">
        <f>ROUNDUP(E16*0.75,2)</f>
        <v>0.75</v>
      </c>
      <c r="K16" s="64" t="s">
        <v>39</v>
      </c>
      <c r="L16" s="64"/>
      <c r="M16" s="64">
        <f>ROUNDUP((R5*E16)+(R6*J16)+(R7*(E16*2)),2)</f>
        <v>0</v>
      </c>
      <c r="N16" s="96">
        <f>M16</f>
        <v>0</v>
      </c>
      <c r="O16" s="84" t="s">
        <v>32</v>
      </c>
      <c r="P16" s="65" t="s">
        <v>57</v>
      </c>
      <c r="Q16" s="62"/>
      <c r="R16" s="66">
        <v>2</v>
      </c>
      <c r="S16" s="63">
        <f t="shared" si="0"/>
        <v>1.5</v>
      </c>
      <c r="T16" s="80">
        <f>ROUNDUP((R5*R16)+(R6*S16)+(R7*(R16*2)),2)</f>
        <v>0</v>
      </c>
    </row>
    <row r="17" spans="1:20" ht="18.75" customHeight="1">
      <c r="A17" s="231"/>
      <c r="B17" s="84"/>
      <c r="C17" s="61"/>
      <c r="D17" s="62"/>
      <c r="E17" s="63"/>
      <c r="F17" s="64"/>
      <c r="G17" s="88"/>
      <c r="H17" s="92"/>
      <c r="I17" s="62"/>
      <c r="J17" s="64"/>
      <c r="K17" s="64"/>
      <c r="L17" s="64"/>
      <c r="M17" s="64"/>
      <c r="N17" s="96"/>
      <c r="O17" s="84"/>
      <c r="P17" s="65" t="s">
        <v>91</v>
      </c>
      <c r="Q17" s="62"/>
      <c r="R17" s="66">
        <v>1</v>
      </c>
      <c r="S17" s="63">
        <f t="shared" si="0"/>
        <v>0.75</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270</v>
      </c>
      <c r="C19" s="61" t="s">
        <v>108</v>
      </c>
      <c r="D19" s="62"/>
      <c r="E19" s="63">
        <v>10</v>
      </c>
      <c r="F19" s="64" t="s">
        <v>39</v>
      </c>
      <c r="G19" s="88"/>
      <c r="H19" s="92" t="s">
        <v>108</v>
      </c>
      <c r="I19" s="62"/>
      <c r="J19" s="64">
        <f>ROUNDUP(E19*0.75,2)</f>
        <v>7.5</v>
      </c>
      <c r="K19" s="64" t="s">
        <v>39</v>
      </c>
      <c r="L19" s="64"/>
      <c r="M19" s="64">
        <f>ROUNDUP((R5*E19)+(R6*J19)+(R7*(E19*2)),2)</f>
        <v>0</v>
      </c>
      <c r="N19" s="96">
        <f>M19</f>
        <v>0</v>
      </c>
      <c r="O19" s="100" t="s">
        <v>269</v>
      </c>
      <c r="P19" s="65" t="s">
        <v>109</v>
      </c>
      <c r="Q19" s="62"/>
      <c r="R19" s="66">
        <v>0.5</v>
      </c>
      <c r="S19" s="63">
        <f t="shared" ref="S19:S25" si="1">ROUNDUP(R19*0.75,2)</f>
        <v>0.38</v>
      </c>
      <c r="T19" s="80">
        <f>ROUNDUP((R5*R19)+(R6*S19)+(R7*(R19*2)),2)</f>
        <v>0</v>
      </c>
    </row>
    <row r="20" spans="1:20" ht="18.75" customHeight="1">
      <c r="A20" s="231"/>
      <c r="B20" s="84" t="s">
        <v>271</v>
      </c>
      <c r="C20" s="61" t="s">
        <v>134</v>
      </c>
      <c r="D20" s="62"/>
      <c r="E20" s="63">
        <v>20</v>
      </c>
      <c r="F20" s="64" t="s">
        <v>39</v>
      </c>
      <c r="G20" s="88"/>
      <c r="H20" s="92" t="s">
        <v>134</v>
      </c>
      <c r="I20" s="62"/>
      <c r="J20" s="64">
        <f>ROUNDUP(E20*0.75,2)</f>
        <v>15</v>
      </c>
      <c r="K20" s="64" t="s">
        <v>39</v>
      </c>
      <c r="L20" s="64"/>
      <c r="M20" s="64">
        <f>ROUNDUP((R5*E20)+(R6*J20)+(R7*(E20*2)),2)</f>
        <v>0</v>
      </c>
      <c r="N20" s="96">
        <f>ROUND(M20+(M20*15/100),2)</f>
        <v>0</v>
      </c>
      <c r="O20" s="36" t="s">
        <v>264</v>
      </c>
      <c r="P20" s="65" t="s">
        <v>92</v>
      </c>
      <c r="Q20" s="62"/>
      <c r="R20" s="66">
        <v>1</v>
      </c>
      <c r="S20" s="63">
        <f t="shared" si="1"/>
        <v>0.75</v>
      </c>
      <c r="T20" s="80">
        <f>ROUNDUP((R5*R20)+(R6*S20)+(R7*(R20*2)),2)</f>
        <v>0</v>
      </c>
    </row>
    <row r="21" spans="1:20" ht="18.75" customHeight="1">
      <c r="A21" s="231"/>
      <c r="B21" s="84"/>
      <c r="C21" s="61" t="s">
        <v>54</v>
      </c>
      <c r="D21" s="62"/>
      <c r="E21" s="63">
        <v>10</v>
      </c>
      <c r="F21" s="64" t="s">
        <v>39</v>
      </c>
      <c r="G21" s="88"/>
      <c r="H21" s="92" t="s">
        <v>54</v>
      </c>
      <c r="I21" s="62"/>
      <c r="J21" s="64">
        <f>ROUNDUP(E21*0.75,2)</f>
        <v>7.5</v>
      </c>
      <c r="K21" s="64" t="s">
        <v>39</v>
      </c>
      <c r="L21" s="64"/>
      <c r="M21" s="64">
        <f>ROUNDUP((R5*E21)+(R6*J21)+(R7*(E21*2)),2)</f>
        <v>0</v>
      </c>
      <c r="N21" s="96">
        <f>ROUND(M21+(M21*10/100),2)</f>
        <v>0</v>
      </c>
      <c r="O21" s="84" t="s">
        <v>195</v>
      </c>
      <c r="P21" s="65" t="s">
        <v>109</v>
      </c>
      <c r="Q21" s="62"/>
      <c r="R21" s="66">
        <v>1</v>
      </c>
      <c r="S21" s="63">
        <f t="shared" si="1"/>
        <v>0.75</v>
      </c>
      <c r="T21" s="80">
        <f>ROUNDUP((R5*R21)+(R6*S21)+(R7*(R21*2)),2)</f>
        <v>0</v>
      </c>
    </row>
    <row r="22" spans="1:20" ht="18.75" customHeight="1">
      <c r="A22" s="231"/>
      <c r="B22" s="84"/>
      <c r="C22" s="61"/>
      <c r="D22" s="62"/>
      <c r="E22" s="63"/>
      <c r="F22" s="64"/>
      <c r="G22" s="88"/>
      <c r="H22" s="92"/>
      <c r="I22" s="62"/>
      <c r="J22" s="64"/>
      <c r="K22" s="64"/>
      <c r="L22" s="64"/>
      <c r="M22" s="64"/>
      <c r="N22" s="96"/>
      <c r="O22" s="84" t="s">
        <v>69</v>
      </c>
      <c r="P22" s="65" t="s">
        <v>57</v>
      </c>
      <c r="Q22" s="62"/>
      <c r="R22" s="66">
        <v>1</v>
      </c>
      <c r="S22" s="63">
        <f t="shared" si="1"/>
        <v>0.75</v>
      </c>
      <c r="T22" s="80">
        <f>ROUNDUP((R5*R22)+(R6*S22)+(R7*(R22*2)),2)</f>
        <v>0</v>
      </c>
    </row>
    <row r="23" spans="1:20" ht="18.75" customHeight="1">
      <c r="A23" s="231"/>
      <c r="B23" s="84"/>
      <c r="C23" s="61"/>
      <c r="D23" s="62"/>
      <c r="E23" s="63"/>
      <c r="F23" s="64"/>
      <c r="G23" s="88"/>
      <c r="H23" s="92"/>
      <c r="I23" s="62"/>
      <c r="J23" s="64"/>
      <c r="K23" s="64"/>
      <c r="L23" s="64"/>
      <c r="M23" s="64"/>
      <c r="N23" s="96"/>
      <c r="O23" s="84"/>
      <c r="P23" s="65" t="s">
        <v>58</v>
      </c>
      <c r="Q23" s="62" t="s">
        <v>27</v>
      </c>
      <c r="R23" s="66">
        <v>1</v>
      </c>
      <c r="S23" s="63">
        <f t="shared" si="1"/>
        <v>0.75</v>
      </c>
      <c r="T23" s="80">
        <f>ROUNDUP((R5*R23)+(R6*S23)+(R7*(R23*2)),2)</f>
        <v>0</v>
      </c>
    </row>
    <row r="24" spans="1:20" ht="18.75" customHeight="1">
      <c r="A24" s="231"/>
      <c r="B24" s="84"/>
      <c r="C24" s="61"/>
      <c r="D24" s="62"/>
      <c r="E24" s="63"/>
      <c r="F24" s="64"/>
      <c r="G24" s="88"/>
      <c r="H24" s="92"/>
      <c r="I24" s="62"/>
      <c r="J24" s="64"/>
      <c r="K24" s="64"/>
      <c r="L24" s="64"/>
      <c r="M24" s="64"/>
      <c r="N24" s="96"/>
      <c r="O24" s="84"/>
      <c r="P24" s="65" t="s">
        <v>75</v>
      </c>
      <c r="Q24" s="62"/>
      <c r="R24" s="66">
        <v>2</v>
      </c>
      <c r="S24" s="63">
        <f t="shared" si="1"/>
        <v>1.5</v>
      </c>
      <c r="T24" s="80">
        <f>ROUNDUP((R5*R24)+(R6*S24)+(R7*(R24*2)),2)</f>
        <v>0</v>
      </c>
    </row>
    <row r="25" spans="1:20" ht="18.75" customHeight="1">
      <c r="A25" s="231"/>
      <c r="B25" s="84"/>
      <c r="C25" s="61"/>
      <c r="D25" s="62"/>
      <c r="E25" s="63"/>
      <c r="F25" s="64"/>
      <c r="G25" s="88"/>
      <c r="H25" s="92"/>
      <c r="I25" s="62"/>
      <c r="J25" s="64"/>
      <c r="K25" s="64"/>
      <c r="L25" s="64"/>
      <c r="M25" s="64"/>
      <c r="N25" s="96"/>
      <c r="O25" s="84"/>
      <c r="P25" s="65" t="s">
        <v>37</v>
      </c>
      <c r="Q25" s="62"/>
      <c r="R25" s="66">
        <v>2</v>
      </c>
      <c r="S25" s="63">
        <f t="shared" si="1"/>
        <v>1.5</v>
      </c>
      <c r="T25" s="80">
        <f>ROUNDUP((R5*R25)+(R6*S25)+(R7*(R25*2)),2)</f>
        <v>0</v>
      </c>
    </row>
    <row r="26" spans="1:20" ht="18.75" customHeight="1">
      <c r="A26" s="231"/>
      <c r="B26" s="83"/>
      <c r="C26" s="55"/>
      <c r="D26" s="56"/>
      <c r="E26" s="57"/>
      <c r="F26" s="58"/>
      <c r="G26" s="87"/>
      <c r="H26" s="91"/>
      <c r="I26" s="56"/>
      <c r="J26" s="58"/>
      <c r="K26" s="58"/>
      <c r="L26" s="58"/>
      <c r="M26" s="58"/>
      <c r="N26" s="95"/>
      <c r="O26" s="83"/>
      <c r="P26" s="59"/>
      <c r="Q26" s="56"/>
      <c r="R26" s="60"/>
      <c r="S26" s="57"/>
      <c r="T26" s="79"/>
    </row>
    <row r="27" spans="1:20" ht="18.75" customHeight="1">
      <c r="A27" s="231"/>
      <c r="B27" s="84" t="s">
        <v>59</v>
      </c>
      <c r="C27" s="61" t="s">
        <v>85</v>
      </c>
      <c r="D27" s="62"/>
      <c r="E27" s="67">
        <v>0.1</v>
      </c>
      <c r="F27" s="64" t="s">
        <v>86</v>
      </c>
      <c r="G27" s="88"/>
      <c r="H27" s="92" t="s">
        <v>85</v>
      </c>
      <c r="I27" s="62"/>
      <c r="J27" s="64">
        <f>ROUNDUP(E27*0.75,2)</f>
        <v>0.08</v>
      </c>
      <c r="K27" s="64" t="s">
        <v>86</v>
      </c>
      <c r="L27" s="64"/>
      <c r="M27" s="64">
        <f>ROUNDUP((R5*E27)+(R6*J27)+(R7*(E27*2)),2)</f>
        <v>0</v>
      </c>
      <c r="N27" s="96">
        <f>M27</f>
        <v>0</v>
      </c>
      <c r="O27" s="84" t="s">
        <v>32</v>
      </c>
      <c r="P27" s="65" t="s">
        <v>62</v>
      </c>
      <c r="Q27" s="62"/>
      <c r="R27" s="66">
        <v>100</v>
      </c>
      <c r="S27" s="63">
        <f>ROUNDUP(R27*0.75,2)</f>
        <v>75</v>
      </c>
      <c r="T27" s="80">
        <f>ROUNDUP((R5*R27)+(R6*S27)+(R7*(R27*2)),2)</f>
        <v>0</v>
      </c>
    </row>
    <row r="28" spans="1:20" ht="18.75" customHeight="1">
      <c r="A28" s="231"/>
      <c r="B28" s="84"/>
      <c r="C28" s="61" t="s">
        <v>170</v>
      </c>
      <c r="D28" s="62"/>
      <c r="E28" s="63">
        <v>5</v>
      </c>
      <c r="F28" s="64" t="s">
        <v>39</v>
      </c>
      <c r="G28" s="88"/>
      <c r="H28" s="92" t="s">
        <v>170</v>
      </c>
      <c r="I28" s="62"/>
      <c r="J28" s="64">
        <f>ROUNDUP(E28*0.75,2)</f>
        <v>3.75</v>
      </c>
      <c r="K28" s="64" t="s">
        <v>39</v>
      </c>
      <c r="L28" s="64"/>
      <c r="M28" s="64">
        <f>ROUNDUP((R5*E28)+(R6*J28)+(R7*(E28*2)),2)</f>
        <v>0</v>
      </c>
      <c r="N28" s="96">
        <f>ROUND(M28+(M28*10/100),2)</f>
        <v>0</v>
      </c>
      <c r="O28" s="84"/>
      <c r="P28" s="65" t="s">
        <v>63</v>
      </c>
      <c r="Q28" s="62"/>
      <c r="R28" s="66">
        <v>3</v>
      </c>
      <c r="S28" s="63">
        <f>ROUNDUP(R28*0.75,2)</f>
        <v>2.25</v>
      </c>
      <c r="T28" s="80">
        <f>ROUNDUP((R5*R28)+(R6*S28)+(R7*(R28*2)),2)</f>
        <v>0</v>
      </c>
    </row>
    <row r="29" spans="1:20" ht="18.75" customHeight="1">
      <c r="A29" s="231"/>
      <c r="B29" s="83"/>
      <c r="C29" s="55"/>
      <c r="D29" s="56"/>
      <c r="E29" s="57"/>
      <c r="F29" s="58"/>
      <c r="G29" s="87"/>
      <c r="H29" s="91"/>
      <c r="I29" s="56"/>
      <c r="J29" s="58"/>
      <c r="K29" s="58"/>
      <c r="L29" s="58"/>
      <c r="M29" s="58"/>
      <c r="N29" s="95"/>
      <c r="O29" s="83"/>
      <c r="P29" s="59"/>
      <c r="Q29" s="56"/>
      <c r="R29" s="60"/>
      <c r="S29" s="57"/>
      <c r="T29" s="79"/>
    </row>
    <row r="30" spans="1:20" ht="18.75" customHeight="1">
      <c r="A30" s="231"/>
      <c r="B30" s="84" t="s">
        <v>125</v>
      </c>
      <c r="C30" s="61" t="s">
        <v>126</v>
      </c>
      <c r="D30" s="62"/>
      <c r="E30" s="68">
        <v>0.16666666666666666</v>
      </c>
      <c r="F30" s="64" t="s">
        <v>67</v>
      </c>
      <c r="G30" s="88"/>
      <c r="H30" s="92" t="s">
        <v>126</v>
      </c>
      <c r="I30" s="62"/>
      <c r="J30" s="64">
        <f>ROUNDUP(E30*0.75,2)</f>
        <v>0.13</v>
      </c>
      <c r="K30" s="64" t="s">
        <v>67</v>
      </c>
      <c r="L30" s="64"/>
      <c r="M30" s="64">
        <f>ROUNDUP((R5*E30)+(R6*J30)+(R7*(E30*2)),2)</f>
        <v>0</v>
      </c>
      <c r="N30" s="96">
        <f>M30</f>
        <v>0</v>
      </c>
      <c r="O30" s="84" t="s">
        <v>65</v>
      </c>
      <c r="P30" s="65"/>
      <c r="Q30" s="62"/>
      <c r="R30" s="66"/>
      <c r="S30" s="63"/>
      <c r="T30" s="80"/>
    </row>
    <row r="31" spans="1:20" ht="18.75" customHeight="1" thickBot="1">
      <c r="A31" s="232"/>
      <c r="B31" s="85"/>
      <c r="C31" s="69"/>
      <c r="D31" s="70"/>
      <c r="E31" s="71"/>
      <c r="F31" s="72"/>
      <c r="G31" s="89"/>
      <c r="H31" s="93"/>
      <c r="I31" s="70"/>
      <c r="J31" s="72"/>
      <c r="K31" s="72"/>
      <c r="L31" s="72"/>
      <c r="M31" s="72"/>
      <c r="N31" s="97"/>
      <c r="O31" s="85"/>
      <c r="P31" s="73"/>
      <c r="Q31" s="70"/>
      <c r="R31" s="74"/>
      <c r="S31" s="71"/>
      <c r="T31" s="81"/>
    </row>
  </sheetData>
  <mergeCells count="5">
    <mergeCell ref="H1:O1"/>
    <mergeCell ref="A2:T2"/>
    <mergeCell ref="Q3:T3"/>
    <mergeCell ref="A8:F8"/>
    <mergeCell ref="A10:A31"/>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196</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197</v>
      </c>
      <c r="C10" s="48" t="s">
        <v>202</v>
      </c>
      <c r="D10" s="49" t="s">
        <v>27</v>
      </c>
      <c r="E10" s="54">
        <v>40</v>
      </c>
      <c r="F10" s="51" t="s">
        <v>39</v>
      </c>
      <c r="G10" s="86"/>
      <c r="H10" s="90" t="s">
        <v>202</v>
      </c>
      <c r="I10" s="49" t="s">
        <v>27</v>
      </c>
      <c r="J10" s="51">
        <f>ROUNDUP(E10*0.75,2)</f>
        <v>30</v>
      </c>
      <c r="K10" s="51" t="s">
        <v>39</v>
      </c>
      <c r="L10" s="51"/>
      <c r="M10" s="51">
        <f>ROUNDUP((R5*E10)+(R6*J10)+(R7*(E10*2)),2)</f>
        <v>0</v>
      </c>
      <c r="N10" s="94">
        <f>M10</f>
        <v>0</v>
      </c>
      <c r="O10" s="82" t="s">
        <v>198</v>
      </c>
      <c r="P10" s="52" t="s">
        <v>109</v>
      </c>
      <c r="Q10" s="49"/>
      <c r="R10" s="53">
        <v>0.5</v>
      </c>
      <c r="S10" s="54">
        <f t="shared" ref="S10:S15" si="0">ROUNDUP(R10*0.75,2)</f>
        <v>0.38</v>
      </c>
      <c r="T10" s="78">
        <f>ROUNDUP((R5*R10)+(R6*S10)+(R7*(R10*2)),2)</f>
        <v>0</v>
      </c>
    </row>
    <row r="11" spans="1:21" ht="18.75" customHeight="1">
      <c r="A11" s="231"/>
      <c r="B11" s="84"/>
      <c r="C11" s="61" t="s">
        <v>108</v>
      </c>
      <c r="D11" s="62"/>
      <c r="E11" s="63">
        <v>30</v>
      </c>
      <c r="F11" s="64" t="s">
        <v>39</v>
      </c>
      <c r="G11" s="88"/>
      <c r="H11" s="92" t="s">
        <v>108</v>
      </c>
      <c r="I11" s="62"/>
      <c r="J11" s="64">
        <f>ROUNDUP(E11*0.75,2)</f>
        <v>22.5</v>
      </c>
      <c r="K11" s="64" t="s">
        <v>39</v>
      </c>
      <c r="L11" s="64"/>
      <c r="M11" s="64">
        <f>ROUNDUP((R5*E11)+(R6*J11)+(R7*(E11*2)),2)</f>
        <v>0</v>
      </c>
      <c r="N11" s="96">
        <f>M11</f>
        <v>0</v>
      </c>
      <c r="O11" s="84" t="s">
        <v>199</v>
      </c>
      <c r="P11" s="65" t="s">
        <v>37</v>
      </c>
      <c r="Q11" s="62"/>
      <c r="R11" s="66">
        <v>2</v>
      </c>
      <c r="S11" s="63">
        <f t="shared" si="0"/>
        <v>1.5</v>
      </c>
      <c r="T11" s="80">
        <f>ROUNDUP((R5*R11)+(R6*S11)+(R7*(R11*2)),2)</f>
        <v>0</v>
      </c>
    </row>
    <row r="12" spans="1:21" ht="18.75" customHeight="1">
      <c r="A12" s="231"/>
      <c r="B12" s="84"/>
      <c r="C12" s="61" t="s">
        <v>136</v>
      </c>
      <c r="D12" s="62"/>
      <c r="E12" s="63">
        <v>20</v>
      </c>
      <c r="F12" s="64" t="s">
        <v>39</v>
      </c>
      <c r="G12" s="88"/>
      <c r="H12" s="92" t="s">
        <v>136</v>
      </c>
      <c r="I12" s="62"/>
      <c r="J12" s="64">
        <f>ROUNDUP(E12*0.75,2)</f>
        <v>15</v>
      </c>
      <c r="K12" s="64" t="s">
        <v>39</v>
      </c>
      <c r="L12" s="64"/>
      <c r="M12" s="64">
        <f>ROUNDUP((R5*E12)+(R6*J12)+(R7*(E12*2)),2)</f>
        <v>0</v>
      </c>
      <c r="N12" s="96">
        <f>ROUND(M12+(M12*15/100),2)</f>
        <v>0</v>
      </c>
      <c r="O12" s="84" t="s">
        <v>200</v>
      </c>
      <c r="P12" s="65" t="s">
        <v>62</v>
      </c>
      <c r="Q12" s="62"/>
      <c r="R12" s="66">
        <v>100</v>
      </c>
      <c r="S12" s="63">
        <f t="shared" si="0"/>
        <v>75</v>
      </c>
      <c r="T12" s="80">
        <f>ROUNDUP((R5*R12)+(R6*S12)+(R7*(R12*2)),2)</f>
        <v>0</v>
      </c>
    </row>
    <row r="13" spans="1:21" ht="18.75" customHeight="1">
      <c r="A13" s="231"/>
      <c r="B13" s="84"/>
      <c r="C13" s="61" t="s">
        <v>54</v>
      </c>
      <c r="D13" s="62"/>
      <c r="E13" s="63">
        <v>10</v>
      </c>
      <c r="F13" s="64" t="s">
        <v>39</v>
      </c>
      <c r="G13" s="88"/>
      <c r="H13" s="92" t="s">
        <v>54</v>
      </c>
      <c r="I13" s="62"/>
      <c r="J13" s="64">
        <f>ROUNDUP(E13*0.75,2)</f>
        <v>7.5</v>
      </c>
      <c r="K13" s="64" t="s">
        <v>39</v>
      </c>
      <c r="L13" s="64"/>
      <c r="M13" s="64">
        <f>ROUNDUP((R5*E13)+(R6*J13)+(R7*(E13*2)),2)</f>
        <v>0</v>
      </c>
      <c r="N13" s="96">
        <f>ROUND(M13+(M13*10/100),2)</f>
        <v>0</v>
      </c>
      <c r="O13" s="84" t="s">
        <v>201</v>
      </c>
      <c r="P13" s="65" t="s">
        <v>91</v>
      </c>
      <c r="Q13" s="62"/>
      <c r="R13" s="66">
        <v>2</v>
      </c>
      <c r="S13" s="63">
        <f t="shared" si="0"/>
        <v>1.5</v>
      </c>
      <c r="T13" s="80">
        <f>ROUNDUP((R5*R13)+(R6*S13)+(R7*(R13*2)),2)</f>
        <v>0</v>
      </c>
    </row>
    <row r="14" spans="1:21" ht="18.75" customHeight="1">
      <c r="A14" s="231"/>
      <c r="B14" s="84"/>
      <c r="C14" s="61" t="s">
        <v>169</v>
      </c>
      <c r="D14" s="62"/>
      <c r="E14" s="63">
        <v>10</v>
      </c>
      <c r="F14" s="64" t="s">
        <v>39</v>
      </c>
      <c r="G14" s="88"/>
      <c r="H14" s="92" t="s">
        <v>169</v>
      </c>
      <c r="I14" s="62"/>
      <c r="J14" s="64">
        <f>ROUNDUP(E14*0.75,2)</f>
        <v>7.5</v>
      </c>
      <c r="K14" s="64" t="s">
        <v>39</v>
      </c>
      <c r="L14" s="64"/>
      <c r="M14" s="64">
        <f>ROUNDUP((R5*E14)+(R6*J14)+(R7*(E14*2)),2)</f>
        <v>0</v>
      </c>
      <c r="N14" s="96">
        <f>ROUND(M14+(M14*15/100),2)</f>
        <v>0</v>
      </c>
      <c r="O14" s="84" t="s">
        <v>32</v>
      </c>
      <c r="P14" s="65" t="s">
        <v>36</v>
      </c>
      <c r="Q14" s="62"/>
      <c r="R14" s="66">
        <v>0.1</v>
      </c>
      <c r="S14" s="63">
        <f t="shared" si="0"/>
        <v>0.08</v>
      </c>
      <c r="T14" s="80">
        <f>ROUNDUP((R5*R14)+(R6*S14)+(R7*(R14*2)),2)</f>
        <v>0</v>
      </c>
    </row>
    <row r="15" spans="1:21" ht="18.75" customHeight="1">
      <c r="A15" s="231"/>
      <c r="B15" s="84"/>
      <c r="C15" s="61"/>
      <c r="D15" s="62"/>
      <c r="E15" s="63"/>
      <c r="F15" s="64"/>
      <c r="G15" s="88"/>
      <c r="H15" s="92"/>
      <c r="I15" s="62"/>
      <c r="J15" s="64"/>
      <c r="K15" s="64"/>
      <c r="L15" s="64"/>
      <c r="M15" s="64"/>
      <c r="N15" s="96"/>
      <c r="O15" s="84"/>
      <c r="P15" s="65" t="s">
        <v>58</v>
      </c>
      <c r="Q15" s="62" t="s">
        <v>27</v>
      </c>
      <c r="R15" s="66">
        <v>2</v>
      </c>
      <c r="S15" s="63">
        <f t="shared" si="0"/>
        <v>1.5</v>
      </c>
      <c r="T15" s="80">
        <f>ROUNDUP((R5*R15)+(R6*S15)+(R7*(R15*2)),2)</f>
        <v>0</v>
      </c>
    </row>
    <row r="16" spans="1:21" ht="18.75" customHeight="1">
      <c r="A16" s="231"/>
      <c r="B16" s="83"/>
      <c r="C16" s="55"/>
      <c r="D16" s="56"/>
      <c r="E16" s="57"/>
      <c r="F16" s="58"/>
      <c r="G16" s="87"/>
      <c r="H16" s="91"/>
      <c r="I16" s="56"/>
      <c r="J16" s="58"/>
      <c r="K16" s="58"/>
      <c r="L16" s="58"/>
      <c r="M16" s="58"/>
      <c r="N16" s="95"/>
      <c r="O16" s="83"/>
      <c r="P16" s="59"/>
      <c r="Q16" s="56"/>
      <c r="R16" s="60"/>
      <c r="S16" s="57"/>
      <c r="T16" s="79"/>
    </row>
    <row r="17" spans="1:20" ht="18.75" customHeight="1">
      <c r="A17" s="231"/>
      <c r="B17" s="84" t="s">
        <v>203</v>
      </c>
      <c r="C17" s="61" t="s">
        <v>208</v>
      </c>
      <c r="D17" s="62"/>
      <c r="E17" s="98">
        <v>0.25</v>
      </c>
      <c r="F17" s="64" t="s">
        <v>104</v>
      </c>
      <c r="G17" s="88"/>
      <c r="H17" s="92" t="s">
        <v>208</v>
      </c>
      <c r="I17" s="62"/>
      <c r="J17" s="64">
        <f>ROUNDUP(E17*0.75,2)</f>
        <v>0.19</v>
      </c>
      <c r="K17" s="64" t="s">
        <v>104</v>
      </c>
      <c r="L17" s="64"/>
      <c r="M17" s="64">
        <f>ROUNDUP((R5*E17)+(R6*J17)+(R7*(E17*2)),2)</f>
        <v>0</v>
      </c>
      <c r="N17" s="96">
        <f>M17</f>
        <v>0</v>
      </c>
      <c r="O17" s="84" t="s">
        <v>204</v>
      </c>
      <c r="P17" s="65" t="s">
        <v>62</v>
      </c>
      <c r="Q17" s="62"/>
      <c r="R17" s="66">
        <v>10</v>
      </c>
      <c r="S17" s="63">
        <f t="shared" ref="S17:S24" si="1">ROUNDUP(R17*0.75,2)</f>
        <v>7.5</v>
      </c>
      <c r="T17" s="80">
        <f>ROUNDUP((R5*R17)+(R6*S17)+(R7*(R17*2)),2)</f>
        <v>0</v>
      </c>
    </row>
    <row r="18" spans="1:20" ht="18.75" customHeight="1">
      <c r="A18" s="231"/>
      <c r="B18" s="84"/>
      <c r="C18" s="61" t="s">
        <v>38</v>
      </c>
      <c r="D18" s="62"/>
      <c r="E18" s="63">
        <v>10</v>
      </c>
      <c r="F18" s="64" t="s">
        <v>39</v>
      </c>
      <c r="G18" s="88"/>
      <c r="H18" s="92" t="s">
        <v>38</v>
      </c>
      <c r="I18" s="62"/>
      <c r="J18" s="64">
        <f>ROUNDUP(E18*0.75,2)</f>
        <v>7.5</v>
      </c>
      <c r="K18" s="64" t="s">
        <v>39</v>
      </c>
      <c r="L18" s="64"/>
      <c r="M18" s="64">
        <f>ROUNDUP((R5*E18)+(R6*J18)+(R7*(E18*2)),2)</f>
        <v>0</v>
      </c>
      <c r="N18" s="96">
        <f>ROUND(M18+(M18*6/100),2)</f>
        <v>0</v>
      </c>
      <c r="O18" s="84" t="s">
        <v>205</v>
      </c>
      <c r="P18" s="65" t="s">
        <v>57</v>
      </c>
      <c r="Q18" s="62"/>
      <c r="R18" s="66">
        <v>1</v>
      </c>
      <c r="S18" s="63">
        <f t="shared" si="1"/>
        <v>0.75</v>
      </c>
      <c r="T18" s="80">
        <f>ROUNDUP((R5*R18)+(R6*S18)+(R7*(R18*2)),2)</f>
        <v>0</v>
      </c>
    </row>
    <row r="19" spans="1:20" ht="18.75" customHeight="1">
      <c r="A19" s="231"/>
      <c r="B19" s="84"/>
      <c r="C19" s="61" t="s">
        <v>106</v>
      </c>
      <c r="D19" s="62"/>
      <c r="E19" s="63">
        <v>5</v>
      </c>
      <c r="F19" s="64" t="s">
        <v>39</v>
      </c>
      <c r="G19" s="88"/>
      <c r="H19" s="92" t="s">
        <v>106</v>
      </c>
      <c r="I19" s="62"/>
      <c r="J19" s="64">
        <f>ROUNDUP(E19*0.75,2)</f>
        <v>3.75</v>
      </c>
      <c r="K19" s="64" t="s">
        <v>39</v>
      </c>
      <c r="L19" s="64"/>
      <c r="M19" s="64">
        <f>ROUNDUP((R5*E19)+(R6*J19)+(R7*(E19*2)),2)</f>
        <v>0</v>
      </c>
      <c r="N19" s="96">
        <f>ROUND(M19+(M19*15/100),2)</f>
        <v>0</v>
      </c>
      <c r="O19" s="84" t="s">
        <v>206</v>
      </c>
      <c r="P19" s="65" t="s">
        <v>58</v>
      </c>
      <c r="Q19" s="62" t="s">
        <v>27</v>
      </c>
      <c r="R19" s="66">
        <v>0.5</v>
      </c>
      <c r="S19" s="63">
        <f t="shared" si="1"/>
        <v>0.38</v>
      </c>
      <c r="T19" s="80">
        <f>ROUNDUP((R5*R19)+(R6*S19)+(R7*(R19*2)),2)</f>
        <v>0</v>
      </c>
    </row>
    <row r="20" spans="1:20" ht="18.75" customHeight="1">
      <c r="A20" s="231"/>
      <c r="B20" s="84"/>
      <c r="C20" s="61" t="s">
        <v>145</v>
      </c>
      <c r="D20" s="62"/>
      <c r="E20" s="63">
        <v>5</v>
      </c>
      <c r="F20" s="64" t="s">
        <v>39</v>
      </c>
      <c r="G20" s="88"/>
      <c r="H20" s="92" t="s">
        <v>145</v>
      </c>
      <c r="I20" s="62"/>
      <c r="J20" s="64">
        <f>ROUNDUP(E20*0.75,2)</f>
        <v>3.75</v>
      </c>
      <c r="K20" s="64" t="s">
        <v>39</v>
      </c>
      <c r="L20" s="64"/>
      <c r="M20" s="64">
        <f>ROUNDUP((R5*E20)+(R6*J20)+(R7*(E20*2)),2)</f>
        <v>0</v>
      </c>
      <c r="N20" s="96">
        <f>M20</f>
        <v>0</v>
      </c>
      <c r="O20" s="100" t="s">
        <v>272</v>
      </c>
      <c r="P20" s="65" t="s">
        <v>90</v>
      </c>
      <c r="Q20" s="62"/>
      <c r="R20" s="66">
        <v>1.5</v>
      </c>
      <c r="S20" s="63">
        <f t="shared" si="1"/>
        <v>1.1300000000000001</v>
      </c>
      <c r="T20" s="80">
        <f>ROUNDUP((R5*R20)+(R6*S20)+(R7*(R20*2)),2)</f>
        <v>0</v>
      </c>
    </row>
    <row r="21" spans="1:20" ht="18.75" customHeight="1">
      <c r="A21" s="231"/>
      <c r="B21" s="84"/>
      <c r="C21" s="61"/>
      <c r="D21" s="62"/>
      <c r="E21" s="63"/>
      <c r="F21" s="64"/>
      <c r="G21" s="88"/>
      <c r="H21" s="92"/>
      <c r="I21" s="62"/>
      <c r="J21" s="64"/>
      <c r="K21" s="64"/>
      <c r="L21" s="64"/>
      <c r="M21" s="64"/>
      <c r="N21" s="96"/>
      <c r="O21" s="36" t="s">
        <v>273</v>
      </c>
      <c r="P21" s="65" t="s">
        <v>62</v>
      </c>
      <c r="Q21" s="62"/>
      <c r="R21" s="66">
        <v>20</v>
      </c>
      <c r="S21" s="63">
        <f t="shared" si="1"/>
        <v>15</v>
      </c>
      <c r="T21" s="80">
        <f>ROUNDUP((R5*R21)+(R6*S21)+(R7*(R21*2)),2)</f>
        <v>0</v>
      </c>
    </row>
    <row r="22" spans="1:20" ht="18.75" customHeight="1">
      <c r="A22" s="231"/>
      <c r="B22" s="84"/>
      <c r="C22" s="61"/>
      <c r="D22" s="62"/>
      <c r="E22" s="63"/>
      <c r="F22" s="64"/>
      <c r="G22" s="88"/>
      <c r="H22" s="92"/>
      <c r="I22" s="62"/>
      <c r="J22" s="64"/>
      <c r="K22" s="64"/>
      <c r="L22" s="64"/>
      <c r="M22" s="64"/>
      <c r="N22" s="96"/>
      <c r="O22" s="84" t="s">
        <v>207</v>
      </c>
      <c r="P22" s="65" t="s">
        <v>91</v>
      </c>
      <c r="Q22" s="62"/>
      <c r="R22" s="66">
        <v>2</v>
      </c>
      <c r="S22" s="63">
        <f t="shared" si="1"/>
        <v>1.5</v>
      </c>
      <c r="T22" s="80">
        <f>ROUNDUP((R5*R22)+(R6*S22)+(R7*(R22*2)),2)</f>
        <v>0</v>
      </c>
    </row>
    <row r="23" spans="1:20" ht="18.75" customHeight="1">
      <c r="A23" s="231"/>
      <c r="B23" s="84"/>
      <c r="C23" s="61"/>
      <c r="D23" s="62"/>
      <c r="E23" s="63"/>
      <c r="F23" s="64"/>
      <c r="G23" s="88"/>
      <c r="H23" s="92"/>
      <c r="I23" s="62"/>
      <c r="J23" s="64"/>
      <c r="K23" s="64"/>
      <c r="L23" s="64"/>
      <c r="M23" s="64"/>
      <c r="N23" s="96"/>
      <c r="O23" s="84" t="s">
        <v>83</v>
      </c>
      <c r="P23" s="65" t="s">
        <v>58</v>
      </c>
      <c r="Q23" s="62" t="s">
        <v>27</v>
      </c>
      <c r="R23" s="66">
        <v>0.5</v>
      </c>
      <c r="S23" s="63">
        <f t="shared" si="1"/>
        <v>0.38</v>
      </c>
      <c r="T23" s="80">
        <f>ROUNDUP((R5*R23)+(R6*S23)+(R7*(R23*2)),2)</f>
        <v>0</v>
      </c>
    </row>
    <row r="24" spans="1:20" ht="18.75" customHeight="1">
      <c r="A24" s="231"/>
      <c r="B24" s="84"/>
      <c r="C24" s="61"/>
      <c r="D24" s="62"/>
      <c r="E24" s="63"/>
      <c r="F24" s="64"/>
      <c r="G24" s="88"/>
      <c r="H24" s="92"/>
      <c r="I24" s="62"/>
      <c r="J24" s="64"/>
      <c r="K24" s="64"/>
      <c r="L24" s="64"/>
      <c r="M24" s="64"/>
      <c r="N24" s="96"/>
      <c r="O24" s="84" t="s">
        <v>84</v>
      </c>
      <c r="P24" s="65" t="s">
        <v>92</v>
      </c>
      <c r="Q24" s="62"/>
      <c r="R24" s="66">
        <v>1</v>
      </c>
      <c r="S24" s="63">
        <f t="shared" si="1"/>
        <v>0.75</v>
      </c>
      <c r="T24" s="80">
        <f>ROUNDUP((R5*R24)+(R6*S24)+(R7*(R24*2)),2)</f>
        <v>0</v>
      </c>
    </row>
    <row r="25" spans="1:20" ht="18.75" customHeight="1">
      <c r="A25" s="231"/>
      <c r="B25" s="84"/>
      <c r="C25" s="61"/>
      <c r="D25" s="62"/>
      <c r="E25" s="63"/>
      <c r="F25" s="64"/>
      <c r="G25" s="88"/>
      <c r="H25" s="92"/>
      <c r="I25" s="62"/>
      <c r="J25" s="64"/>
      <c r="K25" s="64"/>
      <c r="L25" s="64"/>
      <c r="M25" s="64"/>
      <c r="N25" s="96"/>
      <c r="O25" s="84" t="s">
        <v>32</v>
      </c>
      <c r="P25" s="65"/>
      <c r="Q25" s="62"/>
      <c r="R25" s="66"/>
      <c r="S25" s="63"/>
      <c r="T25" s="80"/>
    </row>
    <row r="26" spans="1:20" ht="18.75" customHeight="1">
      <c r="A26" s="231"/>
      <c r="B26" s="83"/>
      <c r="C26" s="55"/>
      <c r="D26" s="56"/>
      <c r="E26" s="57"/>
      <c r="F26" s="58"/>
      <c r="G26" s="87"/>
      <c r="H26" s="91"/>
      <c r="I26" s="56"/>
      <c r="J26" s="58"/>
      <c r="K26" s="58"/>
      <c r="L26" s="58"/>
      <c r="M26" s="58"/>
      <c r="N26" s="95"/>
      <c r="O26" s="83"/>
      <c r="P26" s="59"/>
      <c r="Q26" s="56"/>
      <c r="R26" s="60"/>
      <c r="S26" s="57"/>
      <c r="T26" s="79"/>
    </row>
    <row r="27" spans="1:20" ht="18.75" customHeight="1">
      <c r="A27" s="231"/>
      <c r="B27" s="84" t="s">
        <v>152</v>
      </c>
      <c r="C27" s="61" t="s">
        <v>156</v>
      </c>
      <c r="D27" s="62" t="s">
        <v>43</v>
      </c>
      <c r="E27" s="63">
        <v>40</v>
      </c>
      <c r="F27" s="64" t="s">
        <v>39</v>
      </c>
      <c r="G27" s="88"/>
      <c r="H27" s="92" t="s">
        <v>156</v>
      </c>
      <c r="I27" s="62" t="s">
        <v>43</v>
      </c>
      <c r="J27" s="64">
        <f>ROUNDUP(E27*0.75,2)</f>
        <v>30</v>
      </c>
      <c r="K27" s="64" t="s">
        <v>39</v>
      </c>
      <c r="L27" s="64"/>
      <c r="M27" s="64">
        <f>ROUNDUP((R5*E27)+(R6*J27)+(R7*(E27*2)),2)</f>
        <v>0</v>
      </c>
      <c r="N27" s="96">
        <f>M27</f>
        <v>0</v>
      </c>
      <c r="O27" s="84" t="s">
        <v>153</v>
      </c>
      <c r="P27" s="65" t="s">
        <v>57</v>
      </c>
      <c r="Q27" s="62"/>
      <c r="R27" s="66">
        <v>1</v>
      </c>
      <c r="S27" s="63">
        <f>ROUNDUP(R27*0.75,2)</f>
        <v>0.75</v>
      </c>
      <c r="T27" s="80">
        <f>ROUNDUP((R5*R27)+(R6*S27)+(R7*(R27*2)),2)</f>
        <v>0</v>
      </c>
    </row>
    <row r="28" spans="1:20" ht="18.75" customHeight="1">
      <c r="A28" s="231"/>
      <c r="B28" s="84"/>
      <c r="C28" s="61"/>
      <c r="D28" s="62"/>
      <c r="E28" s="63"/>
      <c r="F28" s="64"/>
      <c r="G28" s="88"/>
      <c r="H28" s="92"/>
      <c r="I28" s="62"/>
      <c r="J28" s="64"/>
      <c r="K28" s="64"/>
      <c r="L28" s="64"/>
      <c r="M28" s="64"/>
      <c r="N28" s="96"/>
      <c r="O28" s="84" t="s">
        <v>154</v>
      </c>
      <c r="P28" s="65" t="s">
        <v>74</v>
      </c>
      <c r="Q28" s="62"/>
      <c r="R28" s="66">
        <v>3</v>
      </c>
      <c r="S28" s="63">
        <f>ROUNDUP(R28*0.75,2)</f>
        <v>2.25</v>
      </c>
      <c r="T28" s="80">
        <f>ROUNDUP((R5*R28)+(R6*S28)+(R7*(R28*2)),2)</f>
        <v>0</v>
      </c>
    </row>
    <row r="29" spans="1:20" ht="18.75" customHeight="1">
      <c r="A29" s="231"/>
      <c r="B29" s="84"/>
      <c r="C29" s="61"/>
      <c r="D29" s="62"/>
      <c r="E29" s="63"/>
      <c r="F29" s="64"/>
      <c r="G29" s="88"/>
      <c r="H29" s="92"/>
      <c r="I29" s="62"/>
      <c r="J29" s="64"/>
      <c r="K29" s="64"/>
      <c r="L29" s="64"/>
      <c r="M29" s="64"/>
      <c r="N29" s="96"/>
      <c r="O29" s="84" t="s">
        <v>155</v>
      </c>
      <c r="P29" s="65"/>
      <c r="Q29" s="62"/>
      <c r="R29" s="66"/>
      <c r="S29" s="63"/>
      <c r="T29" s="80"/>
    </row>
    <row r="30" spans="1:20" ht="18.75" customHeight="1">
      <c r="A30" s="231"/>
      <c r="B30" s="84"/>
      <c r="C30" s="61"/>
      <c r="D30" s="62"/>
      <c r="E30" s="63"/>
      <c r="F30" s="64"/>
      <c r="G30" s="88"/>
      <c r="H30" s="92"/>
      <c r="I30" s="62"/>
      <c r="J30" s="64"/>
      <c r="K30" s="64"/>
      <c r="L30" s="64"/>
      <c r="M30" s="64"/>
      <c r="N30" s="96"/>
      <c r="O30" s="84" t="s">
        <v>32</v>
      </c>
      <c r="P30" s="65"/>
      <c r="Q30" s="62"/>
      <c r="R30" s="66"/>
      <c r="S30" s="63"/>
      <c r="T30" s="80"/>
    </row>
    <row r="31" spans="1:20" ht="18.75" customHeight="1" thickBot="1">
      <c r="A31" s="232"/>
      <c r="B31" s="85"/>
      <c r="C31" s="69"/>
      <c r="D31" s="70"/>
      <c r="E31" s="71"/>
      <c r="F31" s="72"/>
      <c r="G31" s="89"/>
      <c r="H31" s="93"/>
      <c r="I31" s="70"/>
      <c r="J31" s="72"/>
      <c r="K31" s="72"/>
      <c r="L31" s="72"/>
      <c r="M31" s="72"/>
      <c r="N31" s="97"/>
      <c r="O31" s="85"/>
      <c r="P31" s="73"/>
      <c r="Q31" s="70"/>
      <c r="R31" s="74"/>
      <c r="S31" s="71"/>
      <c r="T31" s="81"/>
    </row>
  </sheetData>
  <mergeCells count="5">
    <mergeCell ref="H1:O1"/>
    <mergeCell ref="A2:T2"/>
    <mergeCell ref="Q3:T3"/>
    <mergeCell ref="A8:F8"/>
    <mergeCell ref="A10:A31"/>
  </mergeCells>
  <phoneticPr fontId="18"/>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70" zoomScaleNormal="70" zoomScaleSheetLayoutView="80" workbookViewId="0"/>
  </sheetViews>
  <sheetFormatPr defaultColWidth="9" defaultRowHeight="18.75" customHeight="1"/>
  <cols>
    <col min="1" max="1" width="4.109375" style="37" customWidth="1"/>
    <col min="2" max="2" width="22.44140625" style="36" customWidth="1"/>
    <col min="3" max="3" width="26.6640625" style="36" customWidth="1"/>
    <col min="4" max="4" width="17.109375" style="35" customWidth="1"/>
    <col min="5" max="5" width="8.109375" style="38" customWidth="1"/>
    <col min="6" max="6" width="4" style="39" customWidth="1"/>
    <col min="7" max="7" width="10.21875" style="39" hidden="1" customWidth="1"/>
    <col min="8" max="8" width="23.21875" style="40" customWidth="1"/>
    <col min="9" max="9" width="17.109375" style="35" customWidth="1"/>
    <col min="10" max="10" width="8.109375" style="39" customWidth="1"/>
    <col min="11" max="11" width="4" style="39" customWidth="1"/>
    <col min="12" max="12" width="10.21875" style="39" hidden="1" customWidth="1"/>
    <col min="13" max="13" width="8.21875" style="39" customWidth="1"/>
    <col min="14" max="14" width="8.6640625" style="41" hidden="1" customWidth="1"/>
    <col min="15" max="15" width="97.77734375" style="36" customWidth="1"/>
    <col min="16" max="16" width="14.109375" style="40" customWidth="1"/>
    <col min="17" max="17" width="16" style="35" customWidth="1"/>
    <col min="18" max="18" width="10.109375" style="42" customWidth="1"/>
    <col min="19" max="19" width="10.109375" style="38" customWidth="1"/>
    <col min="20" max="20" width="10.109375" style="35" customWidth="1"/>
    <col min="21" max="21" width="5.109375" style="35" customWidth="1"/>
    <col min="22" max="28" width="8.88671875" customWidth="1"/>
    <col min="29" max="16384" width="9" style="3"/>
  </cols>
  <sheetData>
    <row r="1" spans="1:21" ht="36.75" customHeight="1">
      <c r="A1" s="1" t="s">
        <v>22</v>
      </c>
      <c r="B1" s="1"/>
      <c r="C1" s="2"/>
      <c r="D1" s="3"/>
      <c r="E1" s="2"/>
      <c r="F1" s="2"/>
      <c r="G1" s="2"/>
      <c r="H1" s="223"/>
      <c r="I1" s="223"/>
      <c r="J1" s="224"/>
      <c r="K1" s="224"/>
      <c r="L1" s="224"/>
      <c r="M1" s="224"/>
      <c r="N1" s="224"/>
      <c r="O1" s="224"/>
      <c r="P1" s="2"/>
      <c r="Q1" s="2"/>
      <c r="R1" s="4"/>
      <c r="S1" s="4"/>
      <c r="T1" s="3"/>
      <c r="U1" s="3"/>
    </row>
    <row r="2" spans="1:21" ht="36.75" customHeight="1">
      <c r="A2" s="223" t="s">
        <v>0</v>
      </c>
      <c r="B2" s="223"/>
      <c r="C2" s="224"/>
      <c r="D2" s="224"/>
      <c r="E2" s="224"/>
      <c r="F2" s="224"/>
      <c r="G2" s="224"/>
      <c r="H2" s="224"/>
      <c r="I2" s="224"/>
      <c r="J2" s="224"/>
      <c r="K2" s="224"/>
      <c r="L2" s="224"/>
      <c r="M2" s="224"/>
      <c r="N2" s="224"/>
      <c r="O2" s="224"/>
      <c r="P2" s="224"/>
      <c r="Q2" s="224"/>
      <c r="R2" s="224"/>
      <c r="S2" s="224"/>
      <c r="T2" s="224"/>
      <c r="U2" s="3"/>
    </row>
    <row r="3" spans="1:21" ht="18.75" customHeight="1">
      <c r="A3" s="5"/>
      <c r="B3" s="5"/>
      <c r="C3" s="2"/>
      <c r="D3" s="3"/>
      <c r="E3" s="6"/>
      <c r="F3" s="2"/>
      <c r="G3" s="2"/>
      <c r="H3" s="2"/>
      <c r="I3" s="3"/>
      <c r="J3" s="2"/>
      <c r="K3" s="7"/>
      <c r="L3" s="7"/>
      <c r="M3" s="7"/>
      <c r="N3" s="7"/>
      <c r="O3" s="2"/>
      <c r="P3" s="8"/>
      <c r="Q3" s="225" t="s">
        <v>1</v>
      </c>
      <c r="R3" s="226"/>
      <c r="S3" s="226"/>
      <c r="T3" s="227"/>
      <c r="U3" s="3"/>
    </row>
    <row r="4" spans="1:21" ht="15.75" customHeight="1">
      <c r="A4" s="5"/>
      <c r="B4" s="5"/>
      <c r="C4" s="2"/>
      <c r="D4" s="3"/>
      <c r="E4" s="6"/>
      <c r="F4" s="2"/>
      <c r="G4" s="2"/>
      <c r="H4" s="2"/>
      <c r="I4" s="3"/>
      <c r="J4" s="2"/>
      <c r="K4" s="7"/>
      <c r="L4" s="7"/>
      <c r="M4" s="7"/>
      <c r="N4" s="9"/>
      <c r="O4" s="2"/>
      <c r="P4" s="10"/>
      <c r="Q4" s="11"/>
      <c r="R4" s="12" t="s">
        <v>2</v>
      </c>
      <c r="S4" s="13" t="s">
        <v>3</v>
      </c>
      <c r="T4" s="13" t="s">
        <v>4</v>
      </c>
      <c r="U4" s="3"/>
    </row>
    <row r="5" spans="1:21" ht="22.5" customHeight="1">
      <c r="A5" s="5"/>
      <c r="B5" s="5"/>
      <c r="C5" s="2"/>
      <c r="D5" s="3"/>
      <c r="E5" s="6"/>
      <c r="F5" s="2"/>
      <c r="G5" s="2"/>
      <c r="H5" s="2"/>
      <c r="I5" s="3"/>
      <c r="J5" s="2"/>
      <c r="K5" s="7"/>
      <c r="L5" s="7"/>
      <c r="M5" s="7"/>
      <c r="N5" s="9"/>
      <c r="O5" s="2"/>
      <c r="P5" s="14"/>
      <c r="Q5" s="45" t="s">
        <v>6</v>
      </c>
      <c r="R5" s="46"/>
      <c r="S5" s="47"/>
      <c r="T5" s="47"/>
      <c r="U5" s="3"/>
    </row>
    <row r="6" spans="1:21" ht="22.5" customHeight="1">
      <c r="A6" s="5"/>
      <c r="B6" s="5"/>
      <c r="C6" s="2"/>
      <c r="D6" s="15"/>
      <c r="E6" s="6"/>
      <c r="F6" s="2"/>
      <c r="G6" s="2"/>
      <c r="H6" s="2"/>
      <c r="I6" s="15"/>
      <c r="J6" s="2"/>
      <c r="K6" s="7"/>
      <c r="L6" s="7"/>
      <c r="M6" s="7"/>
      <c r="N6" s="9"/>
      <c r="O6" s="2"/>
      <c r="P6" s="14"/>
      <c r="Q6" s="45" t="s">
        <v>5</v>
      </c>
      <c r="R6" s="46"/>
      <c r="S6" s="47"/>
      <c r="T6" s="47"/>
      <c r="U6" s="3"/>
    </row>
    <row r="7" spans="1:21" ht="22.5" customHeight="1">
      <c r="A7" s="5"/>
      <c r="B7" s="5"/>
      <c r="C7" s="2"/>
      <c r="D7" s="16"/>
      <c r="E7" s="6"/>
      <c r="F7" s="2"/>
      <c r="G7" s="2"/>
      <c r="I7" s="16"/>
      <c r="J7" s="2"/>
      <c r="K7" s="7"/>
      <c r="L7" s="7"/>
      <c r="M7" s="7"/>
      <c r="N7" s="17"/>
      <c r="O7" s="2"/>
      <c r="P7" s="14"/>
      <c r="Q7" s="45" t="s">
        <v>7</v>
      </c>
      <c r="R7" s="46"/>
      <c r="S7" s="47"/>
      <c r="T7" s="47"/>
      <c r="U7" s="18"/>
    </row>
    <row r="8" spans="1:21" ht="27.75" customHeight="1" thickBot="1">
      <c r="A8" s="228" t="s">
        <v>210</v>
      </c>
      <c r="B8" s="229"/>
      <c r="C8" s="229"/>
      <c r="D8" s="229"/>
      <c r="E8" s="229"/>
      <c r="F8" s="229"/>
      <c r="G8" s="2"/>
      <c r="H8" s="2"/>
      <c r="I8" s="19"/>
      <c r="J8" s="2"/>
      <c r="K8" s="7"/>
      <c r="L8" s="7"/>
      <c r="M8" s="7"/>
      <c r="N8" s="17"/>
      <c r="O8" s="2"/>
      <c r="P8" s="20"/>
      <c r="Q8" s="19"/>
      <c r="R8" s="21"/>
      <c r="S8" s="21"/>
      <c r="T8" s="22"/>
      <c r="U8" s="18"/>
    </row>
    <row r="9" spans="1:21" customFormat="1" ht="42" customHeight="1" thickBot="1">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c r="A10" s="230" t="s">
        <v>68</v>
      </c>
      <c r="B10" s="82" t="s">
        <v>274</v>
      </c>
      <c r="C10" s="48" t="s">
        <v>87</v>
      </c>
      <c r="D10" s="49"/>
      <c r="E10" s="54">
        <v>10</v>
      </c>
      <c r="F10" s="51" t="s">
        <v>39</v>
      </c>
      <c r="G10" s="86" t="s">
        <v>88</v>
      </c>
      <c r="H10" s="90" t="s">
        <v>87</v>
      </c>
      <c r="I10" s="49"/>
      <c r="J10" s="51">
        <f>ROUNDUP(E10*0.75,2)</f>
        <v>7.5</v>
      </c>
      <c r="K10" s="51" t="s">
        <v>39</v>
      </c>
      <c r="L10" s="51" t="s">
        <v>88</v>
      </c>
      <c r="M10" s="51">
        <f>ROUNDUP((R5*E10)+(R6*J10)+(R7*(E10*2)),2)</f>
        <v>0</v>
      </c>
      <c r="N10" s="94">
        <f>M10</f>
        <v>0</v>
      </c>
      <c r="O10" s="82" t="s">
        <v>211</v>
      </c>
      <c r="P10" s="52" t="s">
        <v>25</v>
      </c>
      <c r="Q10" s="49"/>
      <c r="R10" s="53">
        <v>110</v>
      </c>
      <c r="S10" s="54">
        <f t="shared" ref="S10:S17" si="0">ROUNDUP(R10*0.75,2)</f>
        <v>82.5</v>
      </c>
      <c r="T10" s="78">
        <f>ROUNDUP((R5*R10)+(R6*S10)+(R7*(R10*2)),2)</f>
        <v>0</v>
      </c>
    </row>
    <row r="11" spans="1:21" ht="18.75" customHeight="1">
      <c r="A11" s="231"/>
      <c r="B11" s="84" t="s">
        <v>275</v>
      </c>
      <c r="C11" s="61" t="s">
        <v>38</v>
      </c>
      <c r="D11" s="62"/>
      <c r="E11" s="63">
        <v>20</v>
      </c>
      <c r="F11" s="64" t="s">
        <v>39</v>
      </c>
      <c r="G11" s="88"/>
      <c r="H11" s="92" t="s">
        <v>38</v>
      </c>
      <c r="I11" s="62"/>
      <c r="J11" s="64">
        <f>ROUNDUP(E11*0.75,2)</f>
        <v>15</v>
      </c>
      <c r="K11" s="64" t="s">
        <v>39</v>
      </c>
      <c r="L11" s="64"/>
      <c r="M11" s="64">
        <f>ROUNDUP((R5*E11)+(R6*J11)+(R7*(E11*2)),2)</f>
        <v>0</v>
      </c>
      <c r="N11" s="96">
        <f>ROUND(M11+(M11*6/100),2)</f>
        <v>0</v>
      </c>
      <c r="O11" s="84" t="s">
        <v>212</v>
      </c>
      <c r="P11" s="65" t="s">
        <v>42</v>
      </c>
      <c r="Q11" s="62" t="s">
        <v>43</v>
      </c>
      <c r="R11" s="66">
        <v>2</v>
      </c>
      <c r="S11" s="63">
        <f t="shared" si="0"/>
        <v>1.5</v>
      </c>
      <c r="T11" s="80">
        <f>ROUNDUP((R5*R11)+(R6*S11)+(R7*(R11*2)),2)</f>
        <v>0</v>
      </c>
    </row>
    <row r="12" spans="1:21" ht="18.75" customHeight="1">
      <c r="A12" s="231"/>
      <c r="B12" s="84"/>
      <c r="C12" s="61" t="s">
        <v>194</v>
      </c>
      <c r="D12" s="62"/>
      <c r="E12" s="63">
        <v>5</v>
      </c>
      <c r="F12" s="64" t="s">
        <v>39</v>
      </c>
      <c r="G12" s="88"/>
      <c r="H12" s="92" t="s">
        <v>194</v>
      </c>
      <c r="I12" s="62"/>
      <c r="J12" s="64">
        <f>ROUNDUP(E12*0.75,2)</f>
        <v>3.75</v>
      </c>
      <c r="K12" s="64" t="s">
        <v>39</v>
      </c>
      <c r="L12" s="64"/>
      <c r="M12" s="64">
        <f>ROUNDUP((R5*E12)+(R6*J12)+(R7*(E12*2)),2)</f>
        <v>0</v>
      </c>
      <c r="N12" s="96">
        <f>ROUND(M12+(M12*15/100),2)</f>
        <v>0</v>
      </c>
      <c r="O12" s="84" t="s">
        <v>213</v>
      </c>
      <c r="P12" s="65" t="s">
        <v>36</v>
      </c>
      <c r="Q12" s="62"/>
      <c r="R12" s="66">
        <v>0.1</v>
      </c>
      <c r="S12" s="63">
        <f t="shared" si="0"/>
        <v>0.08</v>
      </c>
      <c r="T12" s="80">
        <f>ROUNDUP((R5*R12)+(R6*S12)+(R7*(R12*2)),2)</f>
        <v>0</v>
      </c>
    </row>
    <row r="13" spans="1:21" ht="18.75" customHeight="1">
      <c r="A13" s="231"/>
      <c r="B13" s="84"/>
      <c r="C13" s="61" t="s">
        <v>70</v>
      </c>
      <c r="D13" s="62" t="s">
        <v>71</v>
      </c>
      <c r="E13" s="63">
        <v>1</v>
      </c>
      <c r="F13" s="64" t="s">
        <v>67</v>
      </c>
      <c r="G13" s="88"/>
      <c r="H13" s="92" t="s">
        <v>70</v>
      </c>
      <c r="I13" s="62" t="s">
        <v>71</v>
      </c>
      <c r="J13" s="64">
        <f>ROUNDUP(E13*0.75,2)</f>
        <v>0.75</v>
      </c>
      <c r="K13" s="64" t="s">
        <v>67</v>
      </c>
      <c r="L13" s="64"/>
      <c r="M13" s="64">
        <f>ROUNDUP((R5*E13)+(R6*J13)+(R7*(E13*2)),2)</f>
        <v>0</v>
      </c>
      <c r="N13" s="96">
        <f>M13</f>
        <v>0</v>
      </c>
      <c r="O13" s="84" t="s">
        <v>214</v>
      </c>
      <c r="P13" s="65" t="s">
        <v>72</v>
      </c>
      <c r="Q13" s="62"/>
      <c r="R13" s="66">
        <v>8</v>
      </c>
      <c r="S13" s="63">
        <f t="shared" si="0"/>
        <v>6</v>
      </c>
      <c r="T13" s="80">
        <f>ROUNDUP((R5*R13)+(R6*S13)+(R7*(R13*2)),2)</f>
        <v>0</v>
      </c>
    </row>
    <row r="14" spans="1:21" ht="18.75" customHeight="1">
      <c r="A14" s="231"/>
      <c r="B14" s="84"/>
      <c r="C14" s="61"/>
      <c r="D14" s="62"/>
      <c r="E14" s="63"/>
      <c r="F14" s="64"/>
      <c r="G14" s="88"/>
      <c r="H14" s="92"/>
      <c r="I14" s="62"/>
      <c r="J14" s="64"/>
      <c r="K14" s="64"/>
      <c r="L14" s="64"/>
      <c r="M14" s="64"/>
      <c r="N14" s="96"/>
      <c r="O14" s="84" t="s">
        <v>215</v>
      </c>
      <c r="P14" s="65" t="s">
        <v>36</v>
      </c>
      <c r="Q14" s="62"/>
      <c r="R14" s="66">
        <v>0.1</v>
      </c>
      <c r="S14" s="63">
        <f t="shared" si="0"/>
        <v>0.08</v>
      </c>
      <c r="T14" s="80">
        <f>ROUNDUP((R5*R14)+(R6*S14)+(R7*(R14*2)),2)</f>
        <v>0</v>
      </c>
    </row>
    <row r="15" spans="1:21" ht="18.75" customHeight="1">
      <c r="A15" s="231"/>
      <c r="B15" s="84"/>
      <c r="C15" s="61"/>
      <c r="D15" s="62"/>
      <c r="E15" s="63"/>
      <c r="F15" s="64"/>
      <c r="G15" s="88"/>
      <c r="H15" s="92"/>
      <c r="I15" s="62"/>
      <c r="J15" s="64"/>
      <c r="K15" s="64"/>
      <c r="L15" s="64"/>
      <c r="M15" s="64"/>
      <c r="N15" s="96"/>
      <c r="O15" s="84" t="s">
        <v>216</v>
      </c>
      <c r="P15" s="65" t="s">
        <v>41</v>
      </c>
      <c r="Q15" s="62"/>
      <c r="R15" s="66">
        <v>0.01</v>
      </c>
      <c r="S15" s="63">
        <f t="shared" si="0"/>
        <v>0.01</v>
      </c>
      <c r="T15" s="80">
        <f>ROUNDUP((R5*R15)+(R6*S15)+(R7*(R15*2)),2)</f>
        <v>0</v>
      </c>
    </row>
    <row r="16" spans="1:21" ht="18.75" customHeight="1">
      <c r="A16" s="231"/>
      <c r="B16" s="84"/>
      <c r="C16" s="61"/>
      <c r="D16" s="62"/>
      <c r="E16" s="63"/>
      <c r="F16" s="64"/>
      <c r="G16" s="88"/>
      <c r="H16" s="92"/>
      <c r="I16" s="62"/>
      <c r="J16" s="64"/>
      <c r="K16" s="64"/>
      <c r="L16" s="64"/>
      <c r="M16" s="64"/>
      <c r="N16" s="96"/>
      <c r="O16" s="84" t="s">
        <v>32</v>
      </c>
      <c r="P16" s="65" t="s">
        <v>37</v>
      </c>
      <c r="Q16" s="62"/>
      <c r="R16" s="66">
        <v>1</v>
      </c>
      <c r="S16" s="63">
        <f t="shared" si="0"/>
        <v>0.75</v>
      </c>
      <c r="T16" s="80">
        <f>ROUNDUP((R5*R16)+(R6*S16)+(R7*(R16*2)),2)</f>
        <v>0</v>
      </c>
    </row>
    <row r="17" spans="1:20" ht="18.75" customHeight="1">
      <c r="A17" s="231"/>
      <c r="B17" s="84"/>
      <c r="C17" s="61"/>
      <c r="D17" s="62"/>
      <c r="E17" s="63"/>
      <c r="F17" s="64"/>
      <c r="G17" s="88"/>
      <c r="H17" s="92"/>
      <c r="I17" s="62"/>
      <c r="J17" s="64"/>
      <c r="K17" s="64"/>
      <c r="L17" s="64"/>
      <c r="M17" s="64"/>
      <c r="N17" s="96"/>
      <c r="O17" s="84"/>
      <c r="P17" s="65" t="s">
        <v>72</v>
      </c>
      <c r="Q17" s="62"/>
      <c r="R17" s="66">
        <v>3</v>
      </c>
      <c r="S17" s="63">
        <f t="shared" si="0"/>
        <v>2.25</v>
      </c>
      <c r="T17" s="80">
        <f>ROUNDUP((R5*R17)+(R6*S17)+(R7*(R17*2)),2)</f>
        <v>0</v>
      </c>
    </row>
    <row r="18" spans="1:20" ht="18.75" customHeight="1">
      <c r="A18" s="231"/>
      <c r="B18" s="83"/>
      <c r="C18" s="55"/>
      <c r="D18" s="56"/>
      <c r="E18" s="57"/>
      <c r="F18" s="58"/>
      <c r="G18" s="87"/>
      <c r="H18" s="91"/>
      <c r="I18" s="56"/>
      <c r="J18" s="58"/>
      <c r="K18" s="58"/>
      <c r="L18" s="58"/>
      <c r="M18" s="58"/>
      <c r="N18" s="95"/>
      <c r="O18" s="83"/>
      <c r="P18" s="59"/>
      <c r="Q18" s="56"/>
      <c r="R18" s="60"/>
      <c r="S18" s="57"/>
      <c r="T18" s="79"/>
    </row>
    <row r="19" spans="1:20" ht="18.75" customHeight="1">
      <c r="A19" s="231"/>
      <c r="B19" s="84" t="s">
        <v>217</v>
      </c>
      <c r="C19" s="61" t="s">
        <v>53</v>
      </c>
      <c r="D19" s="62"/>
      <c r="E19" s="63">
        <v>30</v>
      </c>
      <c r="F19" s="64" t="s">
        <v>39</v>
      </c>
      <c r="G19" s="88"/>
      <c r="H19" s="92" t="s">
        <v>53</v>
      </c>
      <c r="I19" s="62"/>
      <c r="J19" s="64">
        <f>ROUNDUP(E19*0.75,2)</f>
        <v>22.5</v>
      </c>
      <c r="K19" s="64" t="s">
        <v>39</v>
      </c>
      <c r="L19" s="64"/>
      <c r="M19" s="64">
        <f>ROUNDUP((R5*E19)+(R6*J19)+(R7*(E19*2)),2)</f>
        <v>0</v>
      </c>
      <c r="N19" s="96">
        <f>ROUND(M19+(M19*6/100),2)</f>
        <v>0</v>
      </c>
      <c r="O19" s="84" t="s">
        <v>209</v>
      </c>
      <c r="P19" s="65" t="s">
        <v>57</v>
      </c>
      <c r="Q19" s="62"/>
      <c r="R19" s="66">
        <v>1</v>
      </c>
      <c r="S19" s="63">
        <f>ROUNDUP(R19*0.75,2)</f>
        <v>0.75</v>
      </c>
      <c r="T19" s="80">
        <f>ROUNDUP((R5*R19)+(R6*S19)+(R7*(R19*2)),2)</f>
        <v>0</v>
      </c>
    </row>
    <row r="20" spans="1:20" ht="18.75" customHeight="1">
      <c r="A20" s="231"/>
      <c r="B20" s="84"/>
      <c r="C20" s="61" t="s">
        <v>54</v>
      </c>
      <c r="D20" s="62"/>
      <c r="E20" s="63">
        <v>10</v>
      </c>
      <c r="F20" s="64" t="s">
        <v>39</v>
      </c>
      <c r="G20" s="88"/>
      <c r="H20" s="92" t="s">
        <v>54</v>
      </c>
      <c r="I20" s="62"/>
      <c r="J20" s="64">
        <f>ROUNDUP(E20*0.75,2)</f>
        <v>7.5</v>
      </c>
      <c r="K20" s="64" t="s">
        <v>39</v>
      </c>
      <c r="L20" s="64"/>
      <c r="M20" s="64">
        <f>ROUNDUP((R5*E20)+(R6*J20)+(R7*(E20*2)),2)</f>
        <v>0</v>
      </c>
      <c r="N20" s="96">
        <f>ROUND(M20+(M20*10/100),2)</f>
        <v>0</v>
      </c>
      <c r="O20" s="84" t="s">
        <v>171</v>
      </c>
      <c r="P20" s="65" t="s">
        <v>36</v>
      </c>
      <c r="Q20" s="62"/>
      <c r="R20" s="66">
        <v>0.1</v>
      </c>
      <c r="S20" s="63">
        <f>ROUNDUP(R20*0.75,2)</f>
        <v>0.08</v>
      </c>
      <c r="T20" s="80">
        <f>ROUNDUP((R5*R20)+(R6*S20)+(R7*(R20*2)),2)</f>
        <v>0</v>
      </c>
    </row>
    <row r="21" spans="1:20" ht="18.75" customHeight="1">
      <c r="A21" s="231"/>
      <c r="B21" s="84"/>
      <c r="C21" s="61" t="s">
        <v>151</v>
      </c>
      <c r="D21" s="62"/>
      <c r="E21" s="63">
        <v>2</v>
      </c>
      <c r="F21" s="64" t="s">
        <v>39</v>
      </c>
      <c r="G21" s="88"/>
      <c r="H21" s="92" t="s">
        <v>151</v>
      </c>
      <c r="I21" s="62"/>
      <c r="J21" s="64">
        <f>ROUNDUP(E21*0.75,2)</f>
        <v>1.5</v>
      </c>
      <c r="K21" s="64" t="s">
        <v>39</v>
      </c>
      <c r="L21" s="64"/>
      <c r="M21" s="64">
        <f>ROUNDUP((R5*E21)+(R6*J21)+(R7*(E21*2)),2)</f>
        <v>0</v>
      </c>
      <c r="N21" s="96">
        <f>M21</f>
        <v>0</v>
      </c>
      <c r="O21" s="84" t="s">
        <v>32</v>
      </c>
      <c r="P21" s="65" t="s">
        <v>75</v>
      </c>
      <c r="Q21" s="62"/>
      <c r="R21" s="66">
        <v>2</v>
      </c>
      <c r="S21" s="63">
        <f>ROUNDUP(R21*0.75,2)</f>
        <v>1.5</v>
      </c>
      <c r="T21" s="80">
        <f>ROUNDUP((R5*R21)+(R6*S21)+(R7*(R21*2)),2)</f>
        <v>0</v>
      </c>
    </row>
    <row r="22" spans="1:20" ht="18.75" customHeight="1">
      <c r="A22" s="231"/>
      <c r="B22" s="84"/>
      <c r="C22" s="61"/>
      <c r="D22" s="62"/>
      <c r="E22" s="63"/>
      <c r="F22" s="64"/>
      <c r="G22" s="88"/>
      <c r="H22" s="92"/>
      <c r="I22" s="62"/>
      <c r="J22" s="64"/>
      <c r="K22" s="64"/>
      <c r="L22" s="64"/>
      <c r="M22" s="64"/>
      <c r="N22" s="96"/>
      <c r="O22" s="84"/>
      <c r="P22" s="65" t="s">
        <v>37</v>
      </c>
      <c r="Q22" s="62"/>
      <c r="R22" s="66">
        <v>2</v>
      </c>
      <c r="S22" s="63">
        <f>ROUNDUP(R22*0.75,2)</f>
        <v>1.5</v>
      </c>
      <c r="T22" s="80">
        <f>ROUNDUP((R5*R22)+(R6*S22)+(R7*(R22*2)),2)</f>
        <v>0</v>
      </c>
    </row>
    <row r="23" spans="1:20" ht="18.75" customHeight="1">
      <c r="A23" s="231"/>
      <c r="B23" s="83"/>
      <c r="C23" s="55"/>
      <c r="D23" s="56"/>
      <c r="E23" s="57"/>
      <c r="F23" s="58"/>
      <c r="G23" s="87"/>
      <c r="H23" s="91"/>
      <c r="I23" s="56"/>
      <c r="J23" s="58"/>
      <c r="K23" s="58"/>
      <c r="L23" s="58"/>
      <c r="M23" s="58"/>
      <c r="N23" s="95"/>
      <c r="O23" s="83"/>
      <c r="P23" s="59"/>
      <c r="Q23" s="56"/>
      <c r="R23" s="60"/>
      <c r="S23" s="57"/>
      <c r="T23" s="79"/>
    </row>
    <row r="24" spans="1:20" ht="18.75" customHeight="1">
      <c r="A24" s="231"/>
      <c r="B24" s="84" t="s">
        <v>148</v>
      </c>
      <c r="C24" s="61" t="s">
        <v>76</v>
      </c>
      <c r="D24" s="62"/>
      <c r="E24" s="63">
        <v>10</v>
      </c>
      <c r="F24" s="64" t="s">
        <v>39</v>
      </c>
      <c r="G24" s="88"/>
      <c r="H24" s="92" t="s">
        <v>76</v>
      </c>
      <c r="I24" s="62"/>
      <c r="J24" s="64">
        <f>ROUNDUP(E24*0.75,2)</f>
        <v>7.5</v>
      </c>
      <c r="K24" s="64" t="s">
        <v>39</v>
      </c>
      <c r="L24" s="64"/>
      <c r="M24" s="64">
        <f>ROUNDUP((R5*E24)+(R6*J24)+(R7*(E24*2)),2)</f>
        <v>0</v>
      </c>
      <c r="N24" s="96">
        <f>ROUND(M24+(M24*15/100),2)</f>
        <v>0</v>
      </c>
      <c r="O24" s="84" t="s">
        <v>32</v>
      </c>
      <c r="P24" s="65" t="s">
        <v>74</v>
      </c>
      <c r="Q24" s="62"/>
      <c r="R24" s="66">
        <v>100</v>
      </c>
      <c r="S24" s="63">
        <f>ROUNDUP(R24*0.75,2)</f>
        <v>75</v>
      </c>
      <c r="T24" s="80">
        <f>ROUNDUP((R5*R24)+(R6*S24)+(R7*(R24*2)),2)</f>
        <v>0</v>
      </c>
    </row>
    <row r="25" spans="1:20" ht="18.75" customHeight="1">
      <c r="A25" s="231"/>
      <c r="B25" s="84"/>
      <c r="C25" s="61" t="s">
        <v>61</v>
      </c>
      <c r="D25" s="62"/>
      <c r="E25" s="63">
        <v>3</v>
      </c>
      <c r="F25" s="64" t="s">
        <v>39</v>
      </c>
      <c r="G25" s="88"/>
      <c r="H25" s="92" t="s">
        <v>61</v>
      </c>
      <c r="I25" s="62"/>
      <c r="J25" s="64">
        <f>ROUNDUP(E25*0.75,2)</f>
        <v>2.25</v>
      </c>
      <c r="K25" s="64" t="s">
        <v>39</v>
      </c>
      <c r="L25" s="64"/>
      <c r="M25" s="64">
        <f>ROUNDUP((R5*E25)+(R6*J25)+(R7*(E25*2)),2)</f>
        <v>0</v>
      </c>
      <c r="N25" s="96">
        <f>ROUND(M25+(M25*40/100),2)</f>
        <v>0</v>
      </c>
      <c r="O25" s="84"/>
      <c r="P25" s="65" t="s">
        <v>36</v>
      </c>
      <c r="Q25" s="62"/>
      <c r="R25" s="66">
        <v>0.2</v>
      </c>
      <c r="S25" s="63">
        <f>ROUNDUP(R25*0.75,2)</f>
        <v>0.15</v>
      </c>
      <c r="T25" s="80">
        <f>ROUNDUP((R5*R25)+(R6*S25)+(R7*(R25*2)),2)</f>
        <v>0</v>
      </c>
    </row>
    <row r="26" spans="1:20" ht="18.75" customHeight="1">
      <c r="A26" s="231"/>
      <c r="B26" s="84"/>
      <c r="C26" s="61"/>
      <c r="D26" s="62"/>
      <c r="E26" s="63"/>
      <c r="F26" s="64"/>
      <c r="G26" s="88"/>
      <c r="H26" s="92"/>
      <c r="I26" s="62"/>
      <c r="J26" s="64"/>
      <c r="K26" s="64"/>
      <c r="L26" s="64"/>
      <c r="M26" s="64"/>
      <c r="N26" s="96"/>
      <c r="O26" s="84"/>
      <c r="P26" s="65" t="s">
        <v>149</v>
      </c>
      <c r="Q26" s="62" t="s">
        <v>150</v>
      </c>
      <c r="R26" s="66">
        <v>0.6</v>
      </c>
      <c r="S26" s="63">
        <f>ROUNDUP(R26*0.75,2)</f>
        <v>0.45</v>
      </c>
      <c r="T26" s="80">
        <f>ROUNDUP((R5*R26)+(R6*S26)+(R7*(R26*2)),2)</f>
        <v>0</v>
      </c>
    </row>
    <row r="27" spans="1:20" ht="18.75" customHeight="1">
      <c r="A27" s="231"/>
      <c r="B27" s="83"/>
      <c r="C27" s="55"/>
      <c r="D27" s="56"/>
      <c r="E27" s="57"/>
      <c r="F27" s="58"/>
      <c r="G27" s="87"/>
      <c r="H27" s="91"/>
      <c r="I27" s="56"/>
      <c r="J27" s="58"/>
      <c r="K27" s="58"/>
      <c r="L27" s="58"/>
      <c r="M27" s="58"/>
      <c r="N27" s="95"/>
      <c r="O27" s="83"/>
      <c r="P27" s="59"/>
      <c r="Q27" s="56"/>
      <c r="R27" s="60"/>
      <c r="S27" s="57"/>
      <c r="T27" s="79"/>
    </row>
    <row r="28" spans="1:20" ht="18.75" customHeight="1">
      <c r="A28" s="231"/>
      <c r="B28" s="84" t="s">
        <v>172</v>
      </c>
      <c r="C28" s="61" t="s">
        <v>102</v>
      </c>
      <c r="D28" s="62"/>
      <c r="E28" s="75">
        <v>0.125</v>
      </c>
      <c r="F28" s="64" t="s">
        <v>67</v>
      </c>
      <c r="G28" s="88"/>
      <c r="H28" s="92" t="s">
        <v>102</v>
      </c>
      <c r="I28" s="62"/>
      <c r="J28" s="64">
        <f>ROUNDUP(E28*0.75,2)</f>
        <v>9.9999999999999992E-2</v>
      </c>
      <c r="K28" s="64" t="s">
        <v>67</v>
      </c>
      <c r="L28" s="64"/>
      <c r="M28" s="64">
        <f>ROUNDUP((R5*E28)+(R6*J28)+(R7*(E28*2)),2)</f>
        <v>0</v>
      </c>
      <c r="N28" s="96">
        <f>M28</f>
        <v>0</v>
      </c>
      <c r="O28" s="84" t="s">
        <v>65</v>
      </c>
      <c r="P28" s="65"/>
      <c r="Q28" s="62"/>
      <c r="R28" s="66"/>
      <c r="S28" s="63"/>
      <c r="T28" s="80"/>
    </row>
    <row r="29" spans="1:20" ht="18.75" customHeight="1" thickBot="1">
      <c r="A29" s="232"/>
      <c r="B29" s="85"/>
      <c r="C29" s="69"/>
      <c r="D29" s="70"/>
      <c r="E29" s="71"/>
      <c r="F29" s="72"/>
      <c r="G29" s="89"/>
      <c r="H29" s="93"/>
      <c r="I29" s="70"/>
      <c r="J29" s="72"/>
      <c r="K29" s="72"/>
      <c r="L29" s="72"/>
      <c r="M29" s="72"/>
      <c r="N29" s="97"/>
      <c r="O29" s="85"/>
      <c r="P29" s="73"/>
      <c r="Q29" s="70"/>
      <c r="R29" s="74"/>
      <c r="S29" s="71"/>
      <c r="T29" s="81"/>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キッズ月間(昼・おやつ)</vt:lpstr>
      <vt:lpstr>11月1日（月）</vt:lpstr>
      <vt:lpstr>11月2日（火）</vt:lpstr>
      <vt:lpstr>11月4日（木）</vt:lpstr>
      <vt:lpstr>11月5日（金）</vt:lpstr>
      <vt:lpstr>11月8日（月）</vt:lpstr>
      <vt:lpstr>11月9日（火）</vt:lpstr>
      <vt:lpstr>11月10日（水）</vt:lpstr>
      <vt:lpstr>11月11日（木）</vt:lpstr>
      <vt:lpstr>11月12日（金）</vt:lpstr>
      <vt:lpstr>11月15日（月）</vt:lpstr>
      <vt:lpstr>11月16日（火）</vt:lpstr>
      <vt:lpstr>11月17日（水）</vt:lpstr>
      <vt:lpstr>11月18日（木）</vt:lpstr>
      <vt:lpstr>11月19日（金）</vt:lpstr>
      <vt:lpstr>11月22日（月）</vt:lpstr>
      <vt:lpstr>11月24日（水）</vt:lpstr>
      <vt:lpstr>11月25日（木）</vt:lpstr>
      <vt:lpstr>11月26日（金）</vt:lpstr>
      <vt:lpstr>11月29日（月）</vt:lpstr>
      <vt:lpstr>11月30日（火）</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NEC-PCuser</cp:lastModifiedBy>
  <cp:lastPrinted>2021-09-27T00:46:51Z</cp:lastPrinted>
  <dcterms:created xsi:type="dcterms:W3CDTF">2019-03-20T06:11:51Z</dcterms:created>
  <dcterms:modified xsi:type="dcterms:W3CDTF">2021-10-15T02:46:59Z</dcterms:modified>
</cp:coreProperties>
</file>