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81806\Desktop\運営2021\献立\"/>
    </mc:Choice>
  </mc:AlternateContent>
  <xr:revisionPtr revIDLastSave="0" documentId="13_ncr:1_{DF145660-4ED0-4552-9AA6-53BD0635CC44}" xr6:coauthVersionLast="47" xr6:coauthVersionMax="47" xr10:uidLastSave="{00000000-0000-0000-0000-000000000000}"/>
  <bookViews>
    <workbookView xWindow="-120" yWindow="-120" windowWidth="20730" windowHeight="11160" xr2:uid="{00000000-000D-0000-FFFF-FFFF00000000}"/>
  </bookViews>
  <sheets>
    <sheet name="キッズ月間(昼)" sheetId="75" r:id="rId1"/>
    <sheet name="離乳食月間" sheetId="53" r:id="rId2"/>
    <sheet name="8月2日（月）キッズ" sheetId="3" r:id="rId3"/>
    <sheet name="8月2日離乳食" sheetId="54" r:id="rId4"/>
    <sheet name="8月3日（火）キッズ" sheetId="34" r:id="rId5"/>
    <sheet name="8月3日離乳食" sheetId="55" r:id="rId6"/>
    <sheet name="8月4日（水）キッズ" sheetId="5" r:id="rId7"/>
    <sheet name="8月4日離乳食" sheetId="56" r:id="rId8"/>
    <sheet name="8月5日（木）キッズ" sheetId="6" r:id="rId9"/>
    <sheet name="8月5日離乳食" sheetId="57" r:id="rId10"/>
    <sheet name="8月6日（金）キッズ" sheetId="7" r:id="rId11"/>
    <sheet name="8月6日離乳食" sheetId="58" r:id="rId12"/>
    <sheet name="8月10日（火）キッズ" sheetId="51" r:id="rId13"/>
    <sheet name="8月10日離乳食" sheetId="59" r:id="rId14"/>
    <sheet name="8月11日（水）キッズ" sheetId="12" r:id="rId15"/>
    <sheet name="8月11日離乳食" sheetId="60" r:id="rId16"/>
    <sheet name="8月12日（木）キッズ" sheetId="37" r:id="rId17"/>
    <sheet name="8月12日離乳食" sheetId="61" r:id="rId18"/>
    <sheet name="8月13日（金）キッズ" sheetId="38" r:id="rId19"/>
    <sheet name="8月13日離乳食" sheetId="62" r:id="rId20"/>
    <sheet name="8月16日（月）キッズ" sheetId="17" r:id="rId21"/>
    <sheet name="8月16日離乳食" sheetId="63" r:id="rId22"/>
    <sheet name="8月17日（火）キッズ" sheetId="40" r:id="rId23"/>
    <sheet name="8月17日離乳食" sheetId="64" r:id="rId24"/>
    <sheet name="8月18日（水）キッズ" sheetId="19" r:id="rId25"/>
    <sheet name="8月18日離乳食" sheetId="65" r:id="rId26"/>
    <sheet name="8月19日（木）キッズ" sheetId="20" r:id="rId27"/>
    <sheet name="8月19日離乳食" sheetId="66" r:id="rId28"/>
    <sheet name="8月20日（金）キッズ" sheetId="21" r:id="rId29"/>
    <sheet name="8月20日離乳食" sheetId="67" r:id="rId30"/>
    <sheet name="8月23日（月）キッズ" sheetId="41" r:id="rId31"/>
    <sheet name="8月23日離乳食" sheetId="68" r:id="rId32"/>
    <sheet name="8月24日（火）キッズ" sheetId="52" r:id="rId33"/>
    <sheet name="8月24日離乳食" sheetId="69" r:id="rId34"/>
    <sheet name="8月25日離乳食" sheetId="70" r:id="rId35"/>
    <sheet name="8月25日（水）キッズ" sheetId="26" r:id="rId36"/>
    <sheet name="8月26日離乳食" sheetId="71" r:id="rId37"/>
    <sheet name="8月26日（木）キッズ" sheetId="43" r:id="rId38"/>
    <sheet name="8月27日（金）キッズ" sheetId="44" r:id="rId39"/>
    <sheet name="8月27日離乳食" sheetId="74" r:id="rId40"/>
    <sheet name="8月30日（月）キッズ" sheetId="31" r:id="rId41"/>
    <sheet name="8月30日離乳食" sheetId="72" r:id="rId42"/>
    <sheet name="8月31日（火）キッズ" sheetId="50" r:id="rId43"/>
    <sheet name="8月31日離乳食" sheetId="73" r:id="rId44"/>
  </sheets>
  <definedNames>
    <definedName name="_xlnm.Print_Area" localSheetId="0">'キッズ月間(昼)'!$A$1:$AC$85</definedName>
    <definedName name="_xlnm.Print_Area" localSheetId="1">離乳食月間!$A$1:$P$65</definedName>
    <definedName name="_xlnm.Print_Area">#REF!</definedName>
  </definedNames>
  <calcPr calcId="191029"/>
</workbook>
</file>

<file path=xl/calcChain.xml><?xml version="1.0" encoding="utf-8"?>
<calcChain xmlns="http://schemas.openxmlformats.org/spreadsheetml/2006/main">
  <c r="K76" i="75" l="1"/>
  <c r="G76" i="75"/>
  <c r="F76" i="75"/>
  <c r="E76" i="75"/>
  <c r="D76" i="75"/>
  <c r="Z75" i="75"/>
  <c r="K75" i="75"/>
  <c r="G75" i="75"/>
  <c r="F75" i="75"/>
  <c r="E75" i="75"/>
  <c r="D75" i="75"/>
  <c r="Z74" i="75"/>
  <c r="Z73" i="75"/>
  <c r="Z72" i="75"/>
  <c r="K72" i="75"/>
  <c r="Z71" i="75"/>
  <c r="K71" i="75"/>
  <c r="Z70" i="75"/>
  <c r="K70" i="75"/>
  <c r="Z69" i="75"/>
  <c r="K69" i="75"/>
  <c r="Z68" i="75"/>
  <c r="K68" i="75"/>
  <c r="Z67" i="75"/>
  <c r="Z66" i="75"/>
  <c r="K60" i="75"/>
  <c r="K59" i="75"/>
  <c r="Z58" i="75"/>
  <c r="K58" i="75"/>
  <c r="Z57" i="75"/>
  <c r="K57" i="75"/>
  <c r="Z56" i="75"/>
  <c r="K56" i="75"/>
  <c r="Z55" i="75"/>
  <c r="K55" i="75"/>
  <c r="Z54" i="75"/>
  <c r="K54" i="75"/>
  <c r="Z53" i="75"/>
  <c r="K53" i="75"/>
  <c r="Z52" i="75"/>
  <c r="K52" i="75"/>
  <c r="Z51" i="75"/>
  <c r="K51" i="75"/>
  <c r="Z50" i="75"/>
  <c r="K50" i="75"/>
  <c r="Z49" i="75"/>
  <c r="K49" i="75"/>
  <c r="Z48" i="75"/>
  <c r="K48" i="75"/>
  <c r="Z47" i="75"/>
  <c r="K47" i="75"/>
  <c r="Z46" i="75"/>
  <c r="K46" i="75"/>
  <c r="Z45" i="75"/>
  <c r="K45" i="75"/>
  <c r="Z44" i="75"/>
  <c r="K44" i="75"/>
  <c r="Z43" i="75"/>
  <c r="K43" i="75"/>
  <c r="Z42" i="75"/>
  <c r="K42" i="75"/>
  <c r="Z41" i="75"/>
  <c r="K41" i="75"/>
  <c r="Z40" i="75"/>
  <c r="Z39" i="75"/>
  <c r="Z38" i="75"/>
  <c r="Z37" i="75"/>
  <c r="Z36" i="75"/>
  <c r="Z35" i="75"/>
  <c r="Z34" i="75"/>
  <c r="K31" i="75"/>
  <c r="K30" i="75"/>
  <c r="K29" i="75"/>
  <c r="K28" i="75"/>
  <c r="K27" i="75"/>
  <c r="Z26" i="75"/>
  <c r="K26" i="75"/>
  <c r="Z25" i="75"/>
  <c r="K25" i="75"/>
  <c r="Z24" i="75"/>
  <c r="K24" i="75"/>
  <c r="Z23" i="75"/>
  <c r="K23" i="75"/>
  <c r="Z22" i="75"/>
  <c r="K22" i="75"/>
  <c r="Z21" i="75"/>
  <c r="K21" i="75"/>
  <c r="Z20" i="75"/>
  <c r="K20" i="75"/>
  <c r="Z19" i="75"/>
  <c r="K19" i="75"/>
  <c r="Z18" i="75"/>
  <c r="K18" i="75"/>
  <c r="Z17" i="75"/>
  <c r="K17" i="75"/>
  <c r="Z16" i="75"/>
  <c r="K16" i="75"/>
  <c r="Z15" i="75"/>
  <c r="K15" i="75"/>
  <c r="Z14" i="75"/>
  <c r="K14" i="75"/>
  <c r="Z13" i="75"/>
  <c r="K13" i="75"/>
  <c r="Z12" i="75"/>
  <c r="K12" i="75"/>
  <c r="Z11" i="75"/>
  <c r="K11" i="75"/>
  <c r="Z10" i="75"/>
  <c r="K10" i="75"/>
  <c r="Z9" i="75"/>
  <c r="K9" i="75"/>
  <c r="Z8" i="75"/>
  <c r="K8" i="75"/>
  <c r="Z7" i="75"/>
  <c r="K7" i="75"/>
  <c r="T23" i="52"/>
  <c r="S23" i="52"/>
  <c r="J23" i="52"/>
  <c r="M23" i="52" s="1"/>
  <c r="N23" i="52" s="1"/>
  <c r="S22" i="52"/>
  <c r="T22" i="52" s="1"/>
  <c r="J22" i="52"/>
  <c r="M22" i="52" s="1"/>
  <c r="N22" i="52" s="1"/>
  <c r="S20" i="52"/>
  <c r="T20" i="52" s="1"/>
  <c r="T19" i="52"/>
  <c r="S19" i="52"/>
  <c r="S18" i="52"/>
  <c r="T18" i="52" s="1"/>
  <c r="J18" i="52"/>
  <c r="M18" i="52" s="1"/>
  <c r="N18" i="52" s="1"/>
  <c r="S16" i="52"/>
  <c r="T16" i="52" s="1"/>
  <c r="T15" i="52"/>
  <c r="S15" i="52"/>
  <c r="M15" i="52"/>
  <c r="N15" i="52" s="1"/>
  <c r="J15" i="52"/>
  <c r="S14" i="52"/>
  <c r="T14" i="52" s="1"/>
  <c r="J14" i="52"/>
  <c r="M14" i="52" s="1"/>
  <c r="N14" i="52" s="1"/>
  <c r="S13" i="52"/>
  <c r="T13" i="52" s="1"/>
  <c r="J13" i="52"/>
  <c r="M13" i="52" s="1"/>
  <c r="N13" i="52" s="1"/>
  <c r="T12" i="52"/>
  <c r="S12" i="52"/>
  <c r="J12" i="52"/>
  <c r="M12" i="52" s="1"/>
  <c r="N12" i="52" s="1"/>
  <c r="S10" i="52"/>
  <c r="T10" i="52" s="1"/>
  <c r="S23" i="51"/>
  <c r="T23" i="51" s="1"/>
  <c r="J23" i="51"/>
  <c r="M23" i="51"/>
  <c r="N23" i="51" s="1"/>
  <c r="S22" i="51"/>
  <c r="T22" i="51"/>
  <c r="J22" i="51"/>
  <c r="M22" i="51" s="1"/>
  <c r="N22" i="51" s="1"/>
  <c r="S20" i="51"/>
  <c r="T20" i="51" s="1"/>
  <c r="S19" i="51"/>
  <c r="T19" i="51" s="1"/>
  <c r="S18" i="51"/>
  <c r="T18" i="51" s="1"/>
  <c r="J18" i="51"/>
  <c r="M18" i="51" s="1"/>
  <c r="N18" i="51" s="1"/>
  <c r="S16" i="51"/>
  <c r="T16" i="51" s="1"/>
  <c r="S15" i="51"/>
  <c r="T15" i="51" s="1"/>
  <c r="M15" i="51"/>
  <c r="N15" i="51" s="1"/>
  <c r="J15" i="51"/>
  <c r="S14" i="51"/>
  <c r="T14" i="51" s="1"/>
  <c r="J14" i="51"/>
  <c r="M14" i="51" s="1"/>
  <c r="N14" i="51" s="1"/>
  <c r="S13" i="51"/>
  <c r="T13" i="51" s="1"/>
  <c r="J13" i="51"/>
  <c r="M13" i="51" s="1"/>
  <c r="N13" i="51" s="1"/>
  <c r="S12" i="51"/>
  <c r="T12" i="51" s="1"/>
  <c r="J12" i="51"/>
  <c r="M12" i="51"/>
  <c r="N12" i="51" s="1"/>
  <c r="S10" i="51"/>
  <c r="T10" i="51"/>
  <c r="J23" i="50"/>
  <c r="M23" i="50" s="1"/>
  <c r="N23" i="50" s="1"/>
  <c r="S20" i="50"/>
  <c r="T20" i="50" s="1"/>
  <c r="J20" i="50"/>
  <c r="M20" i="50" s="1"/>
  <c r="N20" i="50" s="1"/>
  <c r="S19" i="50"/>
  <c r="T19" i="50" s="1"/>
  <c r="J19" i="50"/>
  <c r="M19" i="50" s="1"/>
  <c r="N19" i="50" s="1"/>
  <c r="S18" i="50"/>
  <c r="T18" i="50" s="1"/>
  <c r="J18" i="50"/>
  <c r="M18" i="50" s="1"/>
  <c r="N18" i="50" s="1"/>
  <c r="S15" i="50"/>
  <c r="T15" i="50" s="1"/>
  <c r="J15" i="50"/>
  <c r="M15" i="50" s="1"/>
  <c r="N15" i="50" s="1"/>
  <c r="S14" i="50"/>
  <c r="T14" i="50"/>
  <c r="M14" i="50"/>
  <c r="N14" i="50" s="1"/>
  <c r="J14" i="50"/>
  <c r="S13" i="50"/>
  <c r="T13" i="50" s="1"/>
  <c r="J13" i="50"/>
  <c r="M13" i="50"/>
  <c r="N13" i="50" s="1"/>
  <c r="S12" i="50"/>
  <c r="T12" i="50" s="1"/>
  <c r="J12" i="50"/>
  <c r="M12" i="50" s="1"/>
  <c r="N12" i="50" s="1"/>
  <c r="S11" i="50"/>
  <c r="T11" i="50" s="1"/>
  <c r="J11" i="50"/>
  <c r="M11" i="50" s="1"/>
  <c r="N11" i="50" s="1"/>
  <c r="S10" i="50"/>
  <c r="T10" i="50" s="1"/>
  <c r="M10" i="50"/>
  <c r="N10" i="50" s="1"/>
  <c r="J10" i="50"/>
  <c r="J30" i="44"/>
  <c r="M30" i="44" s="1"/>
  <c r="N30" i="44" s="1"/>
  <c r="S28" i="44"/>
  <c r="T28" i="44" s="1"/>
  <c r="J28" i="44"/>
  <c r="M28" i="44" s="1"/>
  <c r="N28" i="44" s="1"/>
  <c r="S27" i="44"/>
  <c r="T27" i="44" s="1"/>
  <c r="J27" i="44"/>
  <c r="M27" i="44" s="1"/>
  <c r="N27" i="44" s="1"/>
  <c r="S24" i="44"/>
  <c r="T24" i="44" s="1"/>
  <c r="S23" i="44"/>
  <c r="T23" i="44" s="1"/>
  <c r="T22" i="44"/>
  <c r="S22" i="44"/>
  <c r="J22" i="44"/>
  <c r="M22" i="44" s="1"/>
  <c r="N22" i="44" s="1"/>
  <c r="S21" i="44"/>
  <c r="T21" i="44" s="1"/>
  <c r="J21" i="44"/>
  <c r="M21" i="44" s="1"/>
  <c r="N21" i="44" s="1"/>
  <c r="S20" i="44"/>
  <c r="T20" i="44" s="1"/>
  <c r="J20" i="44"/>
  <c r="M20" i="44" s="1"/>
  <c r="N20" i="44" s="1"/>
  <c r="S18" i="44"/>
  <c r="T18" i="44" s="1"/>
  <c r="S17" i="44"/>
  <c r="T17" i="44" s="1"/>
  <c r="T16" i="44"/>
  <c r="S16" i="44"/>
  <c r="S15" i="44"/>
  <c r="T15" i="44" s="1"/>
  <c r="S14" i="44"/>
  <c r="T14" i="44"/>
  <c r="J14" i="44"/>
  <c r="M14" i="44"/>
  <c r="N14" i="44" s="1"/>
  <c r="S13" i="44"/>
  <c r="T13" i="44" s="1"/>
  <c r="M13" i="44"/>
  <c r="N13" i="44" s="1"/>
  <c r="J13" i="44"/>
  <c r="S12" i="44"/>
  <c r="T12" i="44" s="1"/>
  <c r="M12" i="44"/>
  <c r="N12" i="44"/>
  <c r="J12" i="44"/>
  <c r="S10" i="44"/>
  <c r="T10" i="44" s="1"/>
  <c r="J10" i="44"/>
  <c r="M10" i="44" s="1"/>
  <c r="N10" i="44" s="1"/>
  <c r="M28" i="43"/>
  <c r="N28" i="43" s="1"/>
  <c r="J28" i="43"/>
  <c r="S26" i="43"/>
  <c r="T26" i="43" s="1"/>
  <c r="S25" i="43"/>
  <c r="T25" i="43" s="1"/>
  <c r="J25" i="43"/>
  <c r="M25" i="43" s="1"/>
  <c r="N25" i="43" s="1"/>
  <c r="S24" i="43"/>
  <c r="T24" i="43" s="1"/>
  <c r="M24" i="43"/>
  <c r="N24" i="43" s="1"/>
  <c r="J24" i="43"/>
  <c r="S22" i="43"/>
  <c r="T22" i="43" s="1"/>
  <c r="S21" i="43"/>
  <c r="T21" i="43" s="1"/>
  <c r="T20" i="43"/>
  <c r="S20" i="43"/>
  <c r="S19" i="43"/>
  <c r="T19" i="43" s="1"/>
  <c r="S18" i="43"/>
  <c r="T18" i="43" s="1"/>
  <c r="J18" i="43"/>
  <c r="M18" i="43" s="1"/>
  <c r="N18" i="43" s="1"/>
  <c r="S17" i="43"/>
  <c r="T17" i="43" s="1"/>
  <c r="M17" i="43"/>
  <c r="N17" i="43" s="1"/>
  <c r="J17" i="43"/>
  <c r="S16" i="43"/>
  <c r="T16" i="43" s="1"/>
  <c r="J16" i="43"/>
  <c r="M16" i="43" s="1"/>
  <c r="N16" i="43" s="1"/>
  <c r="S15" i="43"/>
  <c r="T15" i="43" s="1"/>
  <c r="J15" i="43"/>
  <c r="M15" i="43" s="1"/>
  <c r="N15" i="43" s="1"/>
  <c r="T14" i="43"/>
  <c r="S14" i="43"/>
  <c r="J14" i="43"/>
  <c r="M14" i="43" s="1"/>
  <c r="N14" i="43" s="1"/>
  <c r="S12" i="43"/>
  <c r="T12" i="43" s="1"/>
  <c r="S11" i="43"/>
  <c r="T11" i="43" s="1"/>
  <c r="J11" i="43"/>
  <c r="M11" i="43"/>
  <c r="N11" i="43" s="1"/>
  <c r="T10" i="43"/>
  <c r="S10" i="43"/>
  <c r="J10" i="43"/>
  <c r="M10" i="43" s="1"/>
  <c r="N10" i="43" s="1"/>
  <c r="J24" i="41"/>
  <c r="M24" i="41"/>
  <c r="N24" i="41" s="1"/>
  <c r="S22" i="41"/>
  <c r="T22" i="41" s="1"/>
  <c r="S21" i="41"/>
  <c r="T21" i="41" s="1"/>
  <c r="J21" i="41"/>
  <c r="M21" i="41" s="1"/>
  <c r="N21" i="41" s="1"/>
  <c r="S20" i="41"/>
  <c r="T20" i="41" s="1"/>
  <c r="J20" i="41"/>
  <c r="M20" i="41"/>
  <c r="N20" i="41" s="1"/>
  <c r="S19" i="41"/>
  <c r="T19" i="41" s="1"/>
  <c r="M19" i="41"/>
  <c r="N19" i="41" s="1"/>
  <c r="J19" i="41"/>
  <c r="S18" i="41"/>
  <c r="T18" i="41" s="1"/>
  <c r="M18" i="41"/>
  <c r="N18" i="41" s="1"/>
  <c r="J18" i="41"/>
  <c r="S14" i="41"/>
  <c r="T14" i="41"/>
  <c r="J14" i="41"/>
  <c r="M14" i="41" s="1"/>
  <c r="S13" i="41"/>
  <c r="T13" i="41" s="1"/>
  <c r="J13" i="41"/>
  <c r="M13" i="41"/>
  <c r="N13" i="41" s="1"/>
  <c r="S12" i="41"/>
  <c r="T12" i="41" s="1"/>
  <c r="J12" i="41"/>
  <c r="M12" i="41"/>
  <c r="N12" i="41"/>
  <c r="S11" i="41"/>
  <c r="T11" i="41" s="1"/>
  <c r="M11" i="41"/>
  <c r="N11" i="41" s="1"/>
  <c r="J11" i="41"/>
  <c r="S10" i="41"/>
  <c r="T10" i="41" s="1"/>
  <c r="J10" i="41"/>
  <c r="M10" i="41" s="1"/>
  <c r="N10" i="41" s="1"/>
  <c r="M23" i="40"/>
  <c r="N23" i="40" s="1"/>
  <c r="J23" i="40"/>
  <c r="S20" i="40"/>
  <c r="T20" i="40"/>
  <c r="J20" i="40"/>
  <c r="M20" i="40" s="1"/>
  <c r="N20" i="40" s="1"/>
  <c r="S19" i="40"/>
  <c r="T19" i="40" s="1"/>
  <c r="J19" i="40"/>
  <c r="M19" i="40" s="1"/>
  <c r="N19" i="40" s="1"/>
  <c r="S18" i="40"/>
  <c r="T18" i="40" s="1"/>
  <c r="J18" i="40"/>
  <c r="M18" i="40" s="1"/>
  <c r="N18" i="40" s="1"/>
  <c r="S15" i="40"/>
  <c r="T15" i="40"/>
  <c r="J15" i="40"/>
  <c r="M15" i="40" s="1"/>
  <c r="N15" i="40" s="1"/>
  <c r="S14" i="40"/>
  <c r="T14" i="40"/>
  <c r="J14" i="40"/>
  <c r="M14" i="40" s="1"/>
  <c r="N14" i="40" s="1"/>
  <c r="T13" i="40"/>
  <c r="S13" i="40"/>
  <c r="J13" i="40"/>
  <c r="M13" i="40" s="1"/>
  <c r="N13" i="40" s="1"/>
  <c r="S12" i="40"/>
  <c r="T12" i="40"/>
  <c r="J12" i="40"/>
  <c r="M12" i="40"/>
  <c r="N12" i="40" s="1"/>
  <c r="S11" i="40"/>
  <c r="T11" i="40" s="1"/>
  <c r="J11" i="40"/>
  <c r="M11" i="40" s="1"/>
  <c r="N11" i="40" s="1"/>
  <c r="T10" i="40"/>
  <c r="S10" i="40"/>
  <c r="J10" i="40"/>
  <c r="M10" i="40" s="1"/>
  <c r="N10" i="40" s="1"/>
  <c r="J29" i="38"/>
  <c r="M29" i="38" s="1"/>
  <c r="N29" i="38" s="1"/>
  <c r="S27" i="38"/>
  <c r="T27" i="38"/>
  <c r="J27" i="38"/>
  <c r="M27" i="38" s="1"/>
  <c r="N27" i="38" s="1"/>
  <c r="S26" i="38"/>
  <c r="T26" i="38" s="1"/>
  <c r="J26" i="38"/>
  <c r="M26" i="38" s="1"/>
  <c r="N26" i="38" s="1"/>
  <c r="S24" i="38"/>
  <c r="T24" i="38"/>
  <c r="S23" i="38"/>
  <c r="T23" i="38"/>
  <c r="T22" i="38"/>
  <c r="S22" i="38"/>
  <c r="J22" i="38"/>
  <c r="M22" i="38" s="1"/>
  <c r="N22" i="38" s="1"/>
  <c r="S21" i="38"/>
  <c r="T21" i="38" s="1"/>
  <c r="J21" i="38"/>
  <c r="M21" i="38" s="1"/>
  <c r="N21" i="38" s="1"/>
  <c r="S20" i="38"/>
  <c r="T20" i="38"/>
  <c r="J20" i="38"/>
  <c r="M20" i="38" s="1"/>
  <c r="N20" i="38" s="1"/>
  <c r="S18" i="38"/>
  <c r="T18" i="38" s="1"/>
  <c r="S17" i="38"/>
  <c r="T17" i="38" s="1"/>
  <c r="S16" i="38"/>
  <c r="T16" i="38" s="1"/>
  <c r="T15" i="38"/>
  <c r="S15" i="38"/>
  <c r="S14" i="38"/>
  <c r="T14" i="38"/>
  <c r="J14" i="38"/>
  <c r="M14" i="38" s="1"/>
  <c r="N14" i="38" s="1"/>
  <c r="S13" i="38"/>
  <c r="T13" i="38" s="1"/>
  <c r="J13" i="38"/>
  <c r="M13" i="38" s="1"/>
  <c r="N13" i="38" s="1"/>
  <c r="T12" i="38"/>
  <c r="S12" i="38"/>
  <c r="M12" i="38"/>
  <c r="N12" i="38"/>
  <c r="J12" i="38"/>
  <c r="S10" i="38"/>
  <c r="T10" i="38" s="1"/>
  <c r="J10" i="38"/>
  <c r="M10" i="38" s="1"/>
  <c r="N10" i="38" s="1"/>
  <c r="J30" i="37"/>
  <c r="M30" i="37" s="1"/>
  <c r="N30" i="37" s="1"/>
  <c r="S28" i="37"/>
  <c r="T28" i="37" s="1"/>
  <c r="S27" i="37"/>
  <c r="T27" i="37" s="1"/>
  <c r="J27" i="37"/>
  <c r="M27" i="37"/>
  <c r="N27" i="37" s="1"/>
  <c r="S26" i="37"/>
  <c r="T26" i="37" s="1"/>
  <c r="J26" i="37"/>
  <c r="M26" i="37" s="1"/>
  <c r="N26" i="37" s="1"/>
  <c r="S24" i="37"/>
  <c r="T24" i="37"/>
  <c r="S23" i="37"/>
  <c r="T23" i="37" s="1"/>
  <c r="S22" i="37"/>
  <c r="T22" i="37" s="1"/>
  <c r="S21" i="37"/>
  <c r="T21" i="37" s="1"/>
  <c r="S20" i="37"/>
  <c r="T20" i="37" s="1"/>
  <c r="T19" i="37"/>
  <c r="S19" i="37"/>
  <c r="S18" i="37"/>
  <c r="T18" i="37" s="1"/>
  <c r="J18" i="37"/>
  <c r="M18" i="37" s="1"/>
  <c r="N18" i="37" s="1"/>
  <c r="S17" i="37"/>
  <c r="T17" i="37" s="1"/>
  <c r="J17" i="37"/>
  <c r="M17" i="37"/>
  <c r="N17" i="37" s="1"/>
  <c r="T16" i="37"/>
  <c r="S16" i="37"/>
  <c r="M16" i="37"/>
  <c r="N16" i="37" s="1"/>
  <c r="J16" i="37"/>
  <c r="S15" i="37"/>
  <c r="T15" i="37" s="1"/>
  <c r="J15" i="37"/>
  <c r="M15" i="37" s="1"/>
  <c r="N15" i="37" s="1"/>
  <c r="S14" i="37"/>
  <c r="T14" i="37" s="1"/>
  <c r="J14" i="37"/>
  <c r="M14" i="37" s="1"/>
  <c r="N14" i="37" s="1"/>
  <c r="T12" i="37"/>
  <c r="S12" i="37"/>
  <c r="S11" i="37"/>
  <c r="T11" i="37" s="1"/>
  <c r="J11" i="37"/>
  <c r="M11" i="37" s="1"/>
  <c r="N11" i="37" s="1"/>
  <c r="S10" i="37"/>
  <c r="T10" i="37" s="1"/>
  <c r="J10" i="37"/>
  <c r="M10" i="37" s="1"/>
  <c r="N10" i="37" s="1"/>
  <c r="J23" i="34"/>
  <c r="M23" i="34" s="1"/>
  <c r="N23" i="34" s="1"/>
  <c r="S20" i="34"/>
  <c r="T20" i="34" s="1"/>
  <c r="J20" i="34"/>
  <c r="M20" i="34" s="1"/>
  <c r="N20" i="34" s="1"/>
  <c r="S19" i="34"/>
  <c r="T19" i="34" s="1"/>
  <c r="J19" i="34"/>
  <c r="M19" i="34" s="1"/>
  <c r="N19" i="34" s="1"/>
  <c r="S18" i="34"/>
  <c r="T18" i="34" s="1"/>
  <c r="J18" i="34"/>
  <c r="M18" i="34"/>
  <c r="N18" i="34"/>
  <c r="S15" i="34"/>
  <c r="T15" i="34" s="1"/>
  <c r="J15" i="34"/>
  <c r="M15" i="34" s="1"/>
  <c r="N15" i="34" s="1"/>
  <c r="S14" i="34"/>
  <c r="T14" i="34" s="1"/>
  <c r="J14" i="34"/>
  <c r="M14" i="34"/>
  <c r="N14" i="34" s="1"/>
  <c r="S13" i="34"/>
  <c r="T13" i="34"/>
  <c r="M13" i="34"/>
  <c r="N13" i="34" s="1"/>
  <c r="J13" i="34"/>
  <c r="S12" i="34"/>
  <c r="T12" i="34" s="1"/>
  <c r="J12" i="34"/>
  <c r="M12" i="34" s="1"/>
  <c r="N12" i="34" s="1"/>
  <c r="S11" i="34"/>
  <c r="T11" i="34" s="1"/>
  <c r="J11" i="34"/>
  <c r="M11" i="34"/>
  <c r="N11" i="34" s="1"/>
  <c r="T10" i="34"/>
  <c r="S10" i="34"/>
  <c r="J10" i="34"/>
  <c r="M10" i="34"/>
  <c r="N10" i="34" s="1"/>
  <c r="J28" i="31"/>
  <c r="M28" i="31" s="1"/>
  <c r="N28" i="31" s="1"/>
  <c r="S26" i="31"/>
  <c r="T26" i="31" s="1"/>
  <c r="S25" i="31"/>
  <c r="T25" i="31" s="1"/>
  <c r="M26" i="31"/>
  <c r="N26" i="31" s="1"/>
  <c r="J26" i="31"/>
  <c r="J25" i="31"/>
  <c r="M25" i="31" s="1"/>
  <c r="N25" i="31" s="1"/>
  <c r="S23" i="31"/>
  <c r="T23" i="31" s="1"/>
  <c r="S22" i="31"/>
  <c r="T22" i="31" s="1"/>
  <c r="S21" i="31"/>
  <c r="T21" i="31" s="1"/>
  <c r="T20" i="31"/>
  <c r="S20" i="31"/>
  <c r="T19" i="31"/>
  <c r="S19" i="31"/>
  <c r="J21" i="31"/>
  <c r="M21" i="31" s="1"/>
  <c r="N21" i="31" s="1"/>
  <c r="J20" i="31"/>
  <c r="M20" i="31" s="1"/>
  <c r="N20" i="31" s="1"/>
  <c r="J19" i="31"/>
  <c r="M19" i="31" s="1"/>
  <c r="N19" i="31" s="1"/>
  <c r="S16" i="31"/>
  <c r="T16" i="31" s="1"/>
  <c r="T15" i="31"/>
  <c r="S15" i="31"/>
  <c r="J14" i="31"/>
  <c r="M14" i="31" s="1"/>
  <c r="N14" i="31" s="1"/>
  <c r="S14" i="31"/>
  <c r="T14" i="31" s="1"/>
  <c r="J13" i="31"/>
  <c r="M13" i="31" s="1"/>
  <c r="N13" i="31" s="1"/>
  <c r="S13" i="31"/>
  <c r="T13" i="31" s="1"/>
  <c r="T12" i="31"/>
  <c r="S12" i="31"/>
  <c r="J12" i="31"/>
  <c r="M12" i="31" s="1"/>
  <c r="N12" i="31" s="1"/>
  <c r="S10" i="31"/>
  <c r="T10" i="31" s="1"/>
  <c r="S25" i="26"/>
  <c r="T25" i="26" s="1"/>
  <c r="S24" i="26"/>
  <c r="T24" i="26" s="1"/>
  <c r="T23" i="26"/>
  <c r="S23" i="26"/>
  <c r="T22" i="26"/>
  <c r="S22" i="26"/>
  <c r="J23" i="26"/>
  <c r="M23" i="26" s="1"/>
  <c r="N23" i="26" s="1"/>
  <c r="S21" i="26"/>
  <c r="T21" i="26" s="1"/>
  <c r="M22" i="26"/>
  <c r="N22" i="26" s="1"/>
  <c r="J22" i="26"/>
  <c r="J21" i="26"/>
  <c r="M21" i="26" s="1"/>
  <c r="N21" i="26" s="1"/>
  <c r="T19" i="26"/>
  <c r="S19" i="26"/>
  <c r="S18" i="26"/>
  <c r="T18" i="26" s="1"/>
  <c r="S17" i="26"/>
  <c r="T17" i="26" s="1"/>
  <c r="M18" i="26"/>
  <c r="N18" i="26" s="1"/>
  <c r="J18" i="26"/>
  <c r="J17" i="26"/>
  <c r="M17" i="26" s="1"/>
  <c r="N17" i="26" s="1"/>
  <c r="T15" i="26"/>
  <c r="S15" i="26"/>
  <c r="S14" i="26"/>
  <c r="T14" i="26" s="1"/>
  <c r="S13" i="26"/>
  <c r="T13" i="26" s="1"/>
  <c r="T12" i="26"/>
  <c r="S12" i="26"/>
  <c r="J14" i="26"/>
  <c r="M14" i="26" s="1"/>
  <c r="N14" i="26" s="1"/>
  <c r="M13" i="26"/>
  <c r="N13" i="26" s="1"/>
  <c r="J13" i="26"/>
  <c r="J12" i="26"/>
  <c r="M12" i="26" s="1"/>
  <c r="N12" i="26" s="1"/>
  <c r="S11" i="26"/>
  <c r="T11" i="26" s="1"/>
  <c r="J11" i="26"/>
  <c r="M11" i="26" s="1"/>
  <c r="N11" i="26" s="1"/>
  <c r="S10" i="26"/>
  <c r="T10" i="26" s="1"/>
  <c r="M10" i="26"/>
  <c r="N10" i="26" s="1"/>
  <c r="J10" i="26"/>
  <c r="J28" i="21"/>
  <c r="M28" i="21" s="1"/>
  <c r="N28" i="21" s="1"/>
  <c r="S26" i="21"/>
  <c r="T26" i="21" s="1"/>
  <c r="S25" i="21"/>
  <c r="T25" i="21" s="1"/>
  <c r="M26" i="21"/>
  <c r="N26" i="21" s="1"/>
  <c r="J26" i="21"/>
  <c r="J25" i="21"/>
  <c r="M25" i="21" s="1"/>
  <c r="N25" i="21" s="1"/>
  <c r="S23" i="21"/>
  <c r="T23" i="21" s="1"/>
  <c r="S22" i="21"/>
  <c r="T22" i="21" s="1"/>
  <c r="S21" i="21"/>
  <c r="T21" i="21" s="1"/>
  <c r="T20" i="21"/>
  <c r="S20" i="21"/>
  <c r="J22" i="21"/>
  <c r="M22" i="21" s="1"/>
  <c r="N22" i="21" s="1"/>
  <c r="J21" i="21"/>
  <c r="M21" i="21" s="1"/>
  <c r="N21" i="21" s="1"/>
  <c r="J20" i="21"/>
  <c r="M20" i="21" s="1"/>
  <c r="N20" i="21" s="1"/>
  <c r="S18" i="21"/>
  <c r="T18" i="21" s="1"/>
  <c r="T17" i="21"/>
  <c r="S17" i="21"/>
  <c r="S16" i="21"/>
  <c r="T16" i="21" s="1"/>
  <c r="S15" i="21"/>
  <c r="T15" i="21" s="1"/>
  <c r="J15" i="21"/>
  <c r="M15" i="21" s="1"/>
  <c r="N15" i="21" s="1"/>
  <c r="J14" i="21"/>
  <c r="M14" i="21" s="1"/>
  <c r="N14" i="21" s="1"/>
  <c r="M13" i="21"/>
  <c r="N13" i="21" s="1"/>
  <c r="J13" i="21"/>
  <c r="T14" i="21"/>
  <c r="S14" i="21"/>
  <c r="S13" i="21"/>
  <c r="T13" i="21" s="1"/>
  <c r="S12" i="21"/>
  <c r="T12" i="21" s="1"/>
  <c r="J12" i="21"/>
  <c r="M12" i="21" s="1"/>
  <c r="N12" i="21" s="1"/>
  <c r="M10" i="21"/>
  <c r="N10" i="21" s="1"/>
  <c r="J10" i="21"/>
  <c r="T10" i="21"/>
  <c r="S10" i="21"/>
  <c r="S27" i="20"/>
  <c r="T27" i="20" s="1"/>
  <c r="S26" i="20"/>
  <c r="T26" i="20" s="1"/>
  <c r="J27" i="20"/>
  <c r="M27" i="20" s="1"/>
  <c r="N27" i="20" s="1"/>
  <c r="J26" i="20"/>
  <c r="M26" i="20" s="1"/>
  <c r="N26" i="20" s="1"/>
  <c r="S23" i="20"/>
  <c r="T23" i="20" s="1"/>
  <c r="S22" i="20"/>
  <c r="T22" i="20" s="1"/>
  <c r="S21" i="20"/>
  <c r="T21" i="20" s="1"/>
  <c r="S20" i="20"/>
  <c r="T20" i="20" s="1"/>
  <c r="M24" i="20"/>
  <c r="N24" i="20" s="1"/>
  <c r="J24" i="20"/>
  <c r="M23" i="20"/>
  <c r="J23" i="20"/>
  <c r="N23" i="20"/>
  <c r="J22" i="20"/>
  <c r="M22" i="20" s="1"/>
  <c r="N22" i="20" s="1"/>
  <c r="M21" i="20"/>
  <c r="N21" i="20" s="1"/>
  <c r="J21" i="20"/>
  <c r="M20" i="20"/>
  <c r="N20" i="20" s="1"/>
  <c r="J20" i="20"/>
  <c r="T18" i="20"/>
  <c r="S18" i="20"/>
  <c r="T17" i="20"/>
  <c r="S17" i="20"/>
  <c r="T16" i="20"/>
  <c r="S16" i="20"/>
  <c r="T15" i="20"/>
  <c r="S15" i="20"/>
  <c r="S14" i="20"/>
  <c r="T14" i="20" s="1"/>
  <c r="J14" i="20"/>
  <c r="M14" i="20" s="1"/>
  <c r="N14" i="20" s="1"/>
  <c r="M13" i="20"/>
  <c r="N13" i="20"/>
  <c r="J13" i="20"/>
  <c r="T13" i="20"/>
  <c r="S13" i="20"/>
  <c r="T12" i="20"/>
  <c r="S12" i="20"/>
  <c r="M12" i="20"/>
  <c r="N12" i="20"/>
  <c r="J12" i="20"/>
  <c r="S10" i="20"/>
  <c r="T10" i="20" s="1"/>
  <c r="S31" i="19"/>
  <c r="T31" i="19" s="1"/>
  <c r="S30" i="19"/>
  <c r="T30" i="19" s="1"/>
  <c r="J30" i="19"/>
  <c r="M30" i="19" s="1"/>
  <c r="N30" i="19" s="1"/>
  <c r="S28" i="19"/>
  <c r="T28" i="19" s="1"/>
  <c r="S27" i="19"/>
  <c r="T27" i="19" s="1"/>
  <c r="S26" i="19"/>
  <c r="T26" i="19" s="1"/>
  <c r="J27" i="19"/>
  <c r="M27" i="19" s="1"/>
  <c r="N27" i="19" s="1"/>
  <c r="J26" i="19"/>
  <c r="M26" i="19" s="1"/>
  <c r="N26" i="19" s="1"/>
  <c r="S24" i="19"/>
  <c r="T24" i="19" s="1"/>
  <c r="S23" i="19"/>
  <c r="T23" i="19" s="1"/>
  <c r="S22" i="19"/>
  <c r="T22" i="19" s="1"/>
  <c r="J24" i="19"/>
  <c r="M24" i="19" s="1"/>
  <c r="N24" i="19" s="1"/>
  <c r="J23" i="19"/>
  <c r="M23" i="19" s="1"/>
  <c r="N23" i="19" s="1"/>
  <c r="J22" i="19"/>
  <c r="M22" i="19" s="1"/>
  <c r="N22" i="19" s="1"/>
  <c r="T21" i="19"/>
  <c r="S21" i="19"/>
  <c r="J21" i="19"/>
  <c r="M21" i="19" s="1"/>
  <c r="N21" i="19" s="1"/>
  <c r="T20" i="19"/>
  <c r="S20" i="19"/>
  <c r="M20" i="19"/>
  <c r="N20" i="19" s="1"/>
  <c r="J20" i="19"/>
  <c r="J13" i="19"/>
  <c r="M13" i="19" s="1"/>
  <c r="N13" i="19" s="1"/>
  <c r="J12" i="19"/>
  <c r="M12" i="19" s="1"/>
  <c r="N12" i="19" s="1"/>
  <c r="J11" i="19"/>
  <c r="M11" i="19" s="1"/>
  <c r="N11" i="19" s="1"/>
  <c r="T12" i="19"/>
  <c r="S12" i="19"/>
  <c r="S11" i="19"/>
  <c r="T11" i="19" s="1"/>
  <c r="J10" i="19"/>
  <c r="M10" i="19" s="1"/>
  <c r="N10" i="19" s="1"/>
  <c r="S10" i="19"/>
  <c r="T10" i="19" s="1"/>
  <c r="J28" i="17"/>
  <c r="M28" i="17" s="1"/>
  <c r="N28" i="17" s="1"/>
  <c r="S26" i="17"/>
  <c r="T26" i="17" s="1"/>
  <c r="S25" i="17"/>
  <c r="T25" i="17" s="1"/>
  <c r="J26" i="17"/>
  <c r="M26" i="17" s="1"/>
  <c r="N26" i="17" s="1"/>
  <c r="J25" i="17"/>
  <c r="M25" i="17" s="1"/>
  <c r="N25" i="17" s="1"/>
  <c r="T23" i="17"/>
  <c r="S23" i="17"/>
  <c r="S22" i="17"/>
  <c r="T22" i="17" s="1"/>
  <c r="S21" i="17"/>
  <c r="T21" i="17" s="1"/>
  <c r="S20" i="17"/>
  <c r="T20" i="17" s="1"/>
  <c r="T19" i="17"/>
  <c r="S19" i="17"/>
  <c r="J21" i="17"/>
  <c r="M21" i="17" s="1"/>
  <c r="N21" i="17" s="1"/>
  <c r="M20" i="17"/>
  <c r="N20" i="17" s="1"/>
  <c r="J20" i="17"/>
  <c r="J19" i="17"/>
  <c r="M19" i="17" s="1"/>
  <c r="N19" i="17" s="1"/>
  <c r="S16" i="17"/>
  <c r="T16" i="17" s="1"/>
  <c r="S15" i="17"/>
  <c r="T15" i="17" s="1"/>
  <c r="J14" i="17"/>
  <c r="M14" i="17" s="1"/>
  <c r="N14" i="17" s="1"/>
  <c r="S14" i="17"/>
  <c r="T14" i="17" s="1"/>
  <c r="J13" i="17"/>
  <c r="M13" i="17" s="1"/>
  <c r="N13" i="17" s="1"/>
  <c r="S13" i="17"/>
  <c r="T13" i="17" s="1"/>
  <c r="S12" i="17"/>
  <c r="T12" i="17" s="1"/>
  <c r="J12" i="17"/>
  <c r="M12" i="17" s="1"/>
  <c r="N12" i="17" s="1"/>
  <c r="S10" i="17"/>
  <c r="T10" i="17" s="1"/>
  <c r="S25" i="12"/>
  <c r="T25" i="12" s="1"/>
  <c r="S24" i="12"/>
  <c r="T24" i="12" s="1"/>
  <c r="S23" i="12"/>
  <c r="T23" i="12" s="1"/>
  <c r="S22" i="12"/>
  <c r="T22" i="12" s="1"/>
  <c r="J23" i="12"/>
  <c r="M23" i="12" s="1"/>
  <c r="N23" i="12" s="1"/>
  <c r="S21" i="12"/>
  <c r="T21" i="12" s="1"/>
  <c r="M22" i="12"/>
  <c r="N22" i="12" s="1"/>
  <c r="J22" i="12"/>
  <c r="J21" i="12"/>
  <c r="M21" i="12" s="1"/>
  <c r="N21" i="12" s="1"/>
  <c r="T19" i="12"/>
  <c r="S19" i="12"/>
  <c r="S18" i="12"/>
  <c r="T18" i="12" s="1"/>
  <c r="S17" i="12"/>
  <c r="T17" i="12" s="1"/>
  <c r="M18" i="12"/>
  <c r="N18" i="12" s="1"/>
  <c r="J18" i="12"/>
  <c r="J17" i="12"/>
  <c r="M17" i="12" s="1"/>
  <c r="N17" i="12" s="1"/>
  <c r="T15" i="12"/>
  <c r="S15" i="12"/>
  <c r="S14" i="12"/>
  <c r="T14" i="12" s="1"/>
  <c r="S13" i="12"/>
  <c r="T13" i="12" s="1"/>
  <c r="T12" i="12"/>
  <c r="S12" i="12"/>
  <c r="M14" i="12"/>
  <c r="N14" i="12" s="1"/>
  <c r="J14" i="12"/>
  <c r="J13" i="12"/>
  <c r="M13" i="12" s="1"/>
  <c r="N13" i="12" s="1"/>
  <c r="J12" i="12"/>
  <c r="M12" i="12" s="1"/>
  <c r="N12" i="12" s="1"/>
  <c r="S11" i="12"/>
  <c r="T11" i="12" s="1"/>
  <c r="J11" i="12"/>
  <c r="M11" i="12" s="1"/>
  <c r="N11" i="12" s="1"/>
  <c r="T10" i="12"/>
  <c r="S10" i="12"/>
  <c r="M10" i="12"/>
  <c r="N10" i="12" s="1"/>
  <c r="J10" i="12"/>
  <c r="T29" i="7"/>
  <c r="S29" i="7"/>
  <c r="S28" i="7"/>
  <c r="T28" i="7" s="1"/>
  <c r="J28" i="7"/>
  <c r="M28" i="7" s="1"/>
  <c r="N28" i="7" s="1"/>
  <c r="S26" i="7"/>
  <c r="T26" i="7" s="1"/>
  <c r="S25" i="7"/>
  <c r="T25" i="7" s="1"/>
  <c r="J26" i="7"/>
  <c r="M26" i="7" s="1"/>
  <c r="N26" i="7" s="1"/>
  <c r="J25" i="7"/>
  <c r="M25" i="7" s="1"/>
  <c r="N25" i="7" s="1"/>
  <c r="T23" i="7"/>
  <c r="S23" i="7"/>
  <c r="S22" i="7"/>
  <c r="T22" i="7" s="1"/>
  <c r="S21" i="7"/>
  <c r="T21" i="7" s="1"/>
  <c r="S20" i="7"/>
  <c r="T20" i="7" s="1"/>
  <c r="J22" i="7"/>
  <c r="M22" i="7" s="1"/>
  <c r="N22" i="7" s="1"/>
  <c r="J21" i="7"/>
  <c r="M21" i="7" s="1"/>
  <c r="N21" i="7" s="1"/>
  <c r="J20" i="7"/>
  <c r="M20" i="7" s="1"/>
  <c r="N20" i="7" s="1"/>
  <c r="T18" i="7"/>
  <c r="S18" i="7"/>
  <c r="T17" i="7"/>
  <c r="S17" i="7"/>
  <c r="S16" i="7"/>
  <c r="T16" i="7" s="1"/>
  <c r="S15" i="7"/>
  <c r="T15" i="7" s="1"/>
  <c r="J15" i="7"/>
  <c r="M15" i="7" s="1"/>
  <c r="N15" i="7" s="1"/>
  <c r="J14" i="7"/>
  <c r="M14" i="7" s="1"/>
  <c r="N14" i="7" s="1"/>
  <c r="M13" i="7"/>
  <c r="N13" i="7" s="1"/>
  <c r="J13" i="7"/>
  <c r="T14" i="7"/>
  <c r="S14" i="7"/>
  <c r="T13" i="7"/>
  <c r="S13" i="7"/>
  <c r="S12" i="7"/>
  <c r="T12" i="7" s="1"/>
  <c r="J12" i="7"/>
  <c r="M12" i="7" s="1"/>
  <c r="N12" i="7" s="1"/>
  <c r="M10" i="7"/>
  <c r="N10" i="7" s="1"/>
  <c r="J10" i="7"/>
  <c r="T10" i="7"/>
  <c r="S10" i="7"/>
  <c r="S27" i="6"/>
  <c r="T27" i="6" s="1"/>
  <c r="S26" i="6"/>
  <c r="T26" i="6" s="1"/>
  <c r="J27" i="6"/>
  <c r="M27" i="6" s="1"/>
  <c r="N27" i="6" s="1"/>
  <c r="J26" i="6"/>
  <c r="M26" i="6" s="1"/>
  <c r="N26" i="6" s="1"/>
  <c r="S23" i="6"/>
  <c r="T23" i="6" s="1"/>
  <c r="S22" i="6"/>
  <c r="T22" i="6" s="1"/>
  <c r="S21" i="6"/>
  <c r="T21" i="6" s="1"/>
  <c r="S20" i="6"/>
  <c r="T20" i="6" s="1"/>
  <c r="J24" i="6"/>
  <c r="M24" i="6" s="1"/>
  <c r="N24" i="6" s="1"/>
  <c r="J23" i="6"/>
  <c r="M23" i="6" s="1"/>
  <c r="N23" i="6" s="1"/>
  <c r="J22" i="6"/>
  <c r="M22" i="6" s="1"/>
  <c r="N22" i="6" s="1"/>
  <c r="M21" i="6"/>
  <c r="N21" i="6" s="1"/>
  <c r="J21" i="6"/>
  <c r="J20" i="6"/>
  <c r="M20" i="6" s="1"/>
  <c r="N20" i="6" s="1"/>
  <c r="S18" i="6"/>
  <c r="T18" i="6" s="1"/>
  <c r="T17" i="6"/>
  <c r="S17" i="6"/>
  <c r="S16" i="6"/>
  <c r="T16" i="6" s="1"/>
  <c r="T15" i="6"/>
  <c r="S15" i="6"/>
  <c r="T14" i="6"/>
  <c r="S14" i="6"/>
  <c r="J14" i="6"/>
  <c r="M14" i="6" s="1"/>
  <c r="N14" i="6" s="1"/>
  <c r="J13" i="6"/>
  <c r="M13" i="6" s="1"/>
  <c r="N13" i="6" s="1"/>
  <c r="S13" i="6"/>
  <c r="T13" i="6" s="1"/>
  <c r="T12" i="6"/>
  <c r="S12" i="6"/>
  <c r="M12" i="6"/>
  <c r="N12" i="6" s="1"/>
  <c r="J12" i="6"/>
  <c r="T10" i="6"/>
  <c r="S10" i="6"/>
  <c r="J29" i="5"/>
  <c r="M29" i="5" s="1"/>
  <c r="N29" i="5" s="1"/>
  <c r="S25" i="5"/>
  <c r="T25" i="5" s="1"/>
  <c r="S24" i="5"/>
  <c r="T24" i="5" s="1"/>
  <c r="J24" i="5"/>
  <c r="M24" i="5" s="1"/>
  <c r="N24" i="5" s="1"/>
  <c r="S18" i="5"/>
  <c r="T18" i="5" s="1"/>
  <c r="J20" i="5"/>
  <c r="M20" i="5" s="1"/>
  <c r="N20" i="5" s="1"/>
  <c r="J19" i="5"/>
  <c r="M19" i="5" s="1"/>
  <c r="N19" i="5" s="1"/>
  <c r="J18" i="5"/>
  <c r="M18" i="5" s="1"/>
  <c r="N18" i="5" s="1"/>
  <c r="T14" i="5"/>
  <c r="S14" i="5"/>
  <c r="T13" i="5"/>
  <c r="S13" i="5"/>
  <c r="T12" i="5"/>
  <c r="S12" i="5"/>
  <c r="S11" i="5"/>
  <c r="T11" i="5" s="1"/>
  <c r="J16" i="5"/>
  <c r="M16" i="5" s="1"/>
  <c r="N16" i="5" s="1"/>
  <c r="J15" i="5"/>
  <c r="M15" i="5" s="1"/>
  <c r="N15" i="5" s="1"/>
  <c r="J14" i="5"/>
  <c r="M14" i="5" s="1"/>
  <c r="N14" i="5" s="1"/>
  <c r="J13" i="5"/>
  <c r="M13" i="5" s="1"/>
  <c r="N13" i="5" s="1"/>
  <c r="S10" i="5"/>
  <c r="T10" i="5" s="1"/>
  <c r="J12" i="5"/>
  <c r="M12" i="5" s="1"/>
  <c r="N12" i="5" s="1"/>
  <c r="J11" i="5"/>
  <c r="M11" i="5" s="1"/>
  <c r="N11" i="5" s="1"/>
  <c r="M10" i="5"/>
  <c r="N10" i="5" s="1"/>
  <c r="J10" i="5"/>
  <c r="J28" i="3"/>
  <c r="M28" i="3" s="1"/>
  <c r="N28" i="3" s="1"/>
  <c r="S26" i="3"/>
  <c r="T26" i="3" s="1"/>
  <c r="S25" i="3"/>
  <c r="T25" i="3" s="1"/>
  <c r="J26" i="3"/>
  <c r="M26" i="3" s="1"/>
  <c r="N26" i="3" s="1"/>
  <c r="J25" i="3"/>
  <c r="M25" i="3" s="1"/>
  <c r="N25" i="3" s="1"/>
  <c r="T23" i="3"/>
  <c r="S23" i="3"/>
  <c r="S22" i="3"/>
  <c r="T22" i="3" s="1"/>
  <c r="S21" i="3"/>
  <c r="T21" i="3" s="1"/>
  <c r="S20" i="3"/>
  <c r="T20" i="3" s="1"/>
  <c r="T19" i="3"/>
  <c r="S19" i="3"/>
  <c r="J21" i="3"/>
  <c r="M21" i="3" s="1"/>
  <c r="N21" i="3" s="1"/>
  <c r="J20" i="3"/>
  <c r="M20" i="3" s="1"/>
  <c r="N20" i="3" s="1"/>
  <c r="J19" i="3"/>
  <c r="M19" i="3" s="1"/>
  <c r="N19" i="3" s="1"/>
  <c r="S16" i="3"/>
  <c r="T16" i="3" s="1"/>
  <c r="T15" i="3"/>
  <c r="S15" i="3"/>
  <c r="J14" i="3"/>
  <c r="M14" i="3" s="1"/>
  <c r="N14" i="3" s="1"/>
  <c r="S14" i="3"/>
  <c r="T14" i="3" s="1"/>
  <c r="J13" i="3"/>
  <c r="M13" i="3" s="1"/>
  <c r="N13" i="3" s="1"/>
  <c r="S13" i="3"/>
  <c r="T13" i="3" s="1"/>
  <c r="T12" i="3"/>
  <c r="S12" i="3"/>
  <c r="J12" i="3"/>
  <c r="M12" i="3" s="1"/>
  <c r="N12" i="3" s="1"/>
  <c r="S10" i="3"/>
  <c r="T10" i="3" s="1"/>
</calcChain>
</file>

<file path=xl/sharedStrings.xml><?xml version="1.0" encoding="utf-8"?>
<sst xmlns="http://schemas.openxmlformats.org/spreadsheetml/2006/main" count="4708" uniqueCount="596">
  <si>
    <t>予　　定　　献　　立　　表　</t>
    <rPh sb="0" eb="1">
      <t>ヨ</t>
    </rPh>
    <rPh sb="3" eb="4">
      <t>サダム</t>
    </rPh>
    <rPh sb="6" eb="7">
      <t>ケン</t>
    </rPh>
    <rPh sb="9" eb="10">
      <t>リツ</t>
    </rPh>
    <rPh sb="12" eb="13">
      <t>ヒョウ</t>
    </rPh>
    <phoneticPr fontId="3"/>
  </si>
  <si>
    <t>&lt;食数&gt;</t>
    <rPh sb="1" eb="2">
      <t>ショク</t>
    </rPh>
    <rPh sb="2" eb="3">
      <t>スウ</t>
    </rPh>
    <phoneticPr fontId="3"/>
  </si>
  <si>
    <t>昼</t>
    <rPh sb="0" eb="1">
      <t>ヒル</t>
    </rPh>
    <phoneticPr fontId="3"/>
  </si>
  <si>
    <t>おやつ</t>
    <phoneticPr fontId="3"/>
  </si>
  <si>
    <t>夕</t>
    <rPh sb="0" eb="1">
      <t>ユウ</t>
    </rPh>
    <phoneticPr fontId="3"/>
  </si>
  <si>
    <t>1‐2歳児</t>
    <rPh sb="3" eb="4">
      <t>サイ</t>
    </rPh>
    <rPh sb="4" eb="5">
      <t>ジ</t>
    </rPh>
    <phoneticPr fontId="3"/>
  </si>
  <si>
    <t>3‐5歳児</t>
    <rPh sb="3" eb="5">
      <t>サイジ</t>
    </rPh>
    <phoneticPr fontId="3"/>
  </si>
  <si>
    <t>職員</t>
    <rPh sb="0" eb="2">
      <t>ショクイン</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</si>
  <si>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</si>
  <si>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</si>
  <si>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</si>
  <si>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</si>
  <si>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</si>
  <si>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</si>
  <si>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</si>
  <si>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総使用量</t>
    <rPh sb="0" eb="1">
      <t>ソウ</t>
    </rPh>
    <rPh sb="1" eb="4">
      <t>シヨウリョウ</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</si>
  <si>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</si>
  <si>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</si>
  <si>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</si>
  <si>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</si>
  <si>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</si>
  <si>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使用量総量</t>
    <rPh sb="0" eb="3">
      <t>シヨウリョウ</t>
    </rPh>
    <rPh sb="3" eb="5">
      <t>ソウリョウ</t>
    </rPh>
    <phoneticPr fontId="3"/>
  </si>
  <si>
    <t>キッズ</t>
    <phoneticPr fontId="3"/>
  </si>
  <si>
    <t>ご飯</t>
  </si>
  <si>
    <t>※加熱調理する際は中心部75℃で1分以上加熱したことを確認して下さい。</t>
  </si>
  <si>
    <t>充てん豆腐</t>
  </si>
  <si>
    <t>丁</t>
  </si>
  <si>
    <t>g</t>
  </si>
  <si>
    <t>ごま油</t>
  </si>
  <si>
    <t>冷凍白菜カットＰ</t>
  </si>
  <si>
    <t>玉ねぎ</t>
  </si>
  <si>
    <t>人参</t>
  </si>
  <si>
    <t>出し汁</t>
  </si>
  <si>
    <t>上白糖</t>
  </si>
  <si>
    <t>みりん風調味料</t>
  </si>
  <si>
    <t>醤油</t>
  </si>
  <si>
    <t>小麦</t>
  </si>
  <si>
    <t>片栗粉</t>
  </si>
  <si>
    <t>じゃが芋</t>
  </si>
  <si>
    <t>きゅうり</t>
  </si>
  <si>
    <t>マヨネーズ</t>
  </si>
  <si>
    <t>卵・小麦</t>
  </si>
  <si>
    <t>精製塩</t>
  </si>
  <si>
    <t>みそ汁</t>
  </si>
  <si>
    <t>※加熱調理する際は中心部75℃で1分以上加熱したことを確認して下さい。_x000D_</t>
  </si>
  <si>
    <t>Ｐ</t>
  </si>
  <si>
    <t>味噌</t>
  </si>
  <si>
    <t>ヨーグルト</t>
  </si>
  <si>
    <t>①砂糖・水を火にかけてシロップを作り冷まします。_x000D_</t>
  </si>
  <si>
    <t>②①とヨーグルトを合わせてください。_x000D_</t>
  </si>
  <si>
    <t>※甘さは砂糖で調節して下さい。_x000D_</t>
  </si>
  <si>
    <t>ﾌﾟﾚｰﾝﾖｰｸﾞﾙﾄ</t>
  </si>
  <si>
    <t>乳</t>
  </si>
  <si>
    <t>水</t>
  </si>
  <si>
    <t>昼</t>
  </si>
  <si>
    <t>牛乳</t>
  </si>
  <si>
    <t>cc</t>
  </si>
  <si>
    <t>※誤嚥防止のために豆は軽く潰して下さい。_x000D_</t>
  </si>
  <si>
    <t>ホットケーキミックス300ｇ</t>
  </si>
  <si>
    <t>小麦※54</t>
    <phoneticPr fontId="18"/>
  </si>
  <si>
    <t>冷凍むき枝豆Ｐ</t>
  </si>
  <si>
    <t>玉子</t>
  </si>
  <si>
    <t>卵</t>
  </si>
  <si>
    <t>ヶ</t>
  </si>
  <si>
    <t>油</t>
  </si>
  <si>
    <t>酒</t>
  </si>
  <si>
    <t>冷凍カットチンゲン菜(ＩＱＦ)Ｐ</t>
  </si>
  <si>
    <t>こしょう</t>
  </si>
  <si>
    <t>長ねぎ</t>
  </si>
  <si>
    <t>カットワカメ</t>
  </si>
  <si>
    <t>7月30日(金)配達/8月2日(月)食</t>
    <phoneticPr fontId="3"/>
  </si>
  <si>
    <t>白糸タラのチーズ焼き</t>
  </si>
  <si>
    <t>①魚は水けを拭き取り、塩・こしょうします。_x000D_</t>
  </si>
  <si>
    <t>②フライパンに油を熱し、①を焼きます。_x000D_</t>
  </si>
  <si>
    <t>③裏返してチーズをのせ、蓋をして蒸し焼きにします。_x000D_</t>
  </si>
  <si>
    <t>④野菜は熱した油で炒め、塩をふって添えて下さい。_x000D_</t>
  </si>
  <si>
    <t>※食数が多い施設はオーブンで焼いてもよいでしょう。_x000D_</t>
  </si>
  <si>
    <t>骨抜き白糸タラ３０</t>
  </si>
  <si>
    <t>・</t>
  </si>
  <si>
    <t>切</t>
  </si>
  <si>
    <t>冷蔵とろけるスライスチーズ</t>
  </si>
  <si>
    <t>冷凍カット小松菜(ＩＱＦ)Ｐ</t>
  </si>
  <si>
    <t>鶏肉と大根の煮物</t>
  </si>
  <si>
    <t>①材料は食べやすい大きさに切ります。_x000D_</t>
  </si>
  <si>
    <t>②熱した油で、肉・野菜の順に炒めて、調味料を加えて煮て下さい。_x000D_</t>
  </si>
  <si>
    <t>国産鶏もも小間(加熱用)</t>
  </si>
  <si>
    <t>大根</t>
  </si>
  <si>
    <t>冷凍カット油揚げ</t>
  </si>
  <si>
    <t>フルーツ（オレンジ）</t>
  </si>
  <si>
    <t>※原料のまま流水できれいに洗って下さい。</t>
  </si>
  <si>
    <t>ネーブル</t>
  </si>
  <si>
    <t>スパゲッティ</t>
  </si>
  <si>
    <t>バター</t>
  </si>
  <si>
    <t>国産豚もも小間</t>
  </si>
  <si>
    <t>かぼちゃ</t>
  </si>
  <si>
    <t>ツナフレーク缶</t>
  </si>
  <si>
    <t>豆乳スープ</t>
  </si>
  <si>
    <t>※とろみをみて水溶き片栗粉の量は調節してください。_x000D_</t>
  </si>
  <si>
    <t>※豆乳は分離しやすいので弱火で煮て、煮立てすぎないようにご注意ください。_x000D_</t>
  </si>
  <si>
    <t>キャベツ</t>
  </si>
  <si>
    <t>冷凍カーネルコーンＰ</t>
  </si>
  <si>
    <t>有機豆乳無調整</t>
  </si>
  <si>
    <t>コンソメ</t>
  </si>
  <si>
    <t>乳・小麦</t>
  </si>
  <si>
    <t>8月2日(月)配達/8月3日(火)食</t>
    <phoneticPr fontId="3"/>
  </si>
  <si>
    <t>カレーライス</t>
  </si>
  <si>
    <t>①材料を食べやすい大きさに切り、芋は水にさらし、肉は酒をふります。_x000D_</t>
  </si>
  <si>
    <t>②熱した油で肉・野菜を炒めて、水・牛乳を加えて煮ます。_x000D_</t>
  </si>
  <si>
    <t>③材料が柔らかくなったらルーを加えて煮込み、砂糖・ケチャップで味を調えて下さい。_x000D_</t>
  </si>
  <si>
    <t>※水の量は調節して下さい。_x000D_</t>
  </si>
  <si>
    <t>とろけるカレー　甘口</t>
  </si>
  <si>
    <t>ケチャップ</t>
  </si>
  <si>
    <t>①野菜・食べやすい大きさに切って水にさらしたごぼうは茹で冷まします。_x000D_</t>
  </si>
  <si>
    <t>②①を煮立て冷ました調味料・ごまで和えて下さい。_x000D_</t>
  </si>
  <si>
    <t>冷凍カットほうれん草(ＩＱＦ)Ｐ</t>
  </si>
  <si>
    <t>ごぼう</t>
  </si>
  <si>
    <t>いり胡麻　白</t>
  </si>
  <si>
    <t>フルーツ（黄桃缶）</t>
  </si>
  <si>
    <t>黄桃缶</t>
  </si>
  <si>
    <t>鉄分強化！ふりかけごはん</t>
  </si>
  <si>
    <t>鉄ふりかけ　穀物</t>
  </si>
  <si>
    <t>※18</t>
  </si>
  <si>
    <t>小麦粉</t>
  </si>
  <si>
    <t>酢</t>
  </si>
  <si>
    <t>焼ふ</t>
  </si>
  <si>
    <t>フルーツ（洋なし缶）</t>
  </si>
  <si>
    <t>洋なし缶ハーフ</t>
  </si>
  <si>
    <t>中国</t>
  </si>
  <si>
    <t>8月3日(火)配達/8月4日(水)食</t>
    <phoneticPr fontId="3"/>
  </si>
  <si>
    <t>●ソース焼きそば</t>
  </si>
  <si>
    <t>①麺は湯をふってほぐしておきます。_x000D_</t>
  </si>
  <si>
    <t>②材料は食べやすい大きさに切ります。肉は酒をふります。_x000D_</t>
  </si>
  <si>
    <t>（蒸）中華めん</t>
  </si>
  <si>
    <t>お問い合わせ下さい</t>
  </si>
  <si>
    <t>袋</t>
  </si>
  <si>
    <t>冷凍並竹輪</t>
  </si>
  <si>
    <t>小麦※92</t>
    <phoneticPr fontId="18"/>
  </si>
  <si>
    <t>あおさ粉</t>
  </si>
  <si>
    <t>中国・国内製造</t>
  </si>
  <si>
    <t>ウスターソース</t>
  </si>
  <si>
    <t>アメリカンドッグ</t>
  </si>
  <si>
    <t>①ウインナーは茹でて食べやすい大きさに切ります。_x000D_</t>
  </si>
  <si>
    <t>※牛乳は入れすぎると衣がさらさらになる場合があります。様子を見ながら加えて下さい。_x000D_</t>
  </si>
  <si>
    <t>冷凍ウインナーＰ</t>
  </si>
  <si>
    <t>本</t>
  </si>
  <si>
    <t>焼きもろこし</t>
  </si>
  <si>
    <t>①食べやすい大きさに切り、茹でるか蒸します。フライパンでバター・醤油をからませて焼いてください。_x000D_</t>
  </si>
  <si>
    <t>※とうもろこしの皮剥きを幼児さんにやってもらうと食育の一環になってよいでしょう。_x000D_</t>
  </si>
  <si>
    <t>とうもろこし</t>
  </si>
  <si>
    <t>フルーツ（バナナ）</t>
  </si>
  <si>
    <t>バナナ</t>
  </si>
  <si>
    <t>8月4日(水)配達/8月5日(木)食</t>
    <phoneticPr fontId="3"/>
  </si>
  <si>
    <t>鶏ささみのくずたたき</t>
  </si>
  <si>
    <t>①肉はそぎ切りにし、酒・片栗粉をもみこみ茹でてザルにあげ、冷まします。_x000D_</t>
  </si>
  <si>
    <t>②出し汁・砂糖・酢・正油・ごま油を煮立て、冷ましておきます。_x000D_</t>
  </si>
  <si>
    <t>③①に茹でたブロッコリー、茹でて食べやすい大きさに切ったトマトを添えて、②をかけて下さい。_x000D_</t>
  </si>
  <si>
    <t>鶏ささみ　(加熱用)</t>
  </si>
  <si>
    <t>冷凍ブロッコリー</t>
  </si>
  <si>
    <t>トマト</t>
  </si>
  <si>
    <t>五目炒り煮</t>
  </si>
  <si>
    <t>②油で炒め合わせ、調味料で炒り煮にして下さい。_x000D_</t>
  </si>
  <si>
    <t>※こんにゃくは細かく刻んで下さい。_x000D_</t>
  </si>
  <si>
    <t>冷凍国産大豆Ｐ</t>
  </si>
  <si>
    <t>ツキコンニャク</t>
  </si>
  <si>
    <t>スープ</t>
  </si>
  <si>
    <t>8月4日(水)配達/8月6日(金)食</t>
    <phoneticPr fontId="3"/>
  </si>
  <si>
    <t>鉄ふりかけ　大豆</t>
  </si>
  <si>
    <t>小麦※18</t>
    <phoneticPr fontId="18"/>
  </si>
  <si>
    <t>カラスカレイの野菜炒め</t>
  </si>
  <si>
    <t>②フライパンに油を熱して魚を焼き、一度取り出します。_x000D_</t>
  </si>
  <si>
    <t>③油で野菜を炒め、火が通ったら②を戻し入れて、混ぜ合わせた調味料を加えて絡めて下さい。_x000D_</t>
  </si>
  <si>
    <t>骨抜きカラスカレイ３０</t>
  </si>
  <si>
    <t>パプリカ赤</t>
  </si>
  <si>
    <t>ピーマン</t>
  </si>
  <si>
    <t>小松菜とコーンのサラダ</t>
  </si>
  <si>
    <t>①食べやすい大きさに切った野菜・コーンは茹で冷まします。_x000D_</t>
  </si>
  <si>
    <t>②調味料を煮立て冷まし①・②を加え和えて下さい。_x000D_</t>
  </si>
  <si>
    <t>白菜</t>
  </si>
  <si>
    <t>中華味</t>
  </si>
  <si>
    <t>ソーメン</t>
  </si>
  <si>
    <t>小麦※14</t>
    <phoneticPr fontId="18"/>
  </si>
  <si>
    <t>冷凍グリンピースＰ</t>
  </si>
  <si>
    <t>骨抜き助宗タラ３０</t>
  </si>
  <si>
    <t>すまし汁</t>
  </si>
  <si>
    <t>冷凍長ネギカットＰ</t>
  </si>
  <si>
    <t>冷凍キヌサヤＰ</t>
  </si>
  <si>
    <t>ハヤシライス</t>
  </si>
  <si>
    <t>①玉ねぎは薄切りにします。肉は食べやすい大きさに切って酒をふります。_x000D_</t>
  </si>
  <si>
    <t>②熱した油で①を炒め、トマトパック・水（量は調節してください）・砂糖を加えて煮ます。_x000D_</t>
  </si>
  <si>
    <t>③アクを取り、ルーを入れて煮ます。_x000D_</t>
  </si>
  <si>
    <t>④ご飯に③を盛って、茹でたグリンピースを散らしてください。_x000D_</t>
  </si>
  <si>
    <t>カットトマトパック</t>
  </si>
  <si>
    <t>とろけるハヤシ</t>
  </si>
  <si>
    <t>お豆腐サラダ</t>
  </si>
  <si>
    <t>①食べやすい大きさに切った豆腐・野菜・コーンは茹で冷まし、ツナは汁気を切ります。_x000D_</t>
  </si>
  <si>
    <t>②①を盛り付けて、煮立て冷ました調味料をかけて下さい。_x000D_</t>
  </si>
  <si>
    <t>冷凍千切り人参Ｐ</t>
  </si>
  <si>
    <t>フルーツ（白桃缶）</t>
  </si>
  <si>
    <t>輸入白桃缶</t>
  </si>
  <si>
    <t>冷凍乱切りキャベツＰ</t>
  </si>
  <si>
    <t>冷凍シャトーキャロットＰ</t>
  </si>
  <si>
    <t>冷凍ささがきごぼうＰ</t>
  </si>
  <si>
    <t>フルーツ（みかん缶）</t>
  </si>
  <si>
    <t>みかん缶</t>
  </si>
  <si>
    <t>8月6日(金)配達/8月10日(火)食</t>
    <phoneticPr fontId="3"/>
  </si>
  <si>
    <t>鶏肉と野菜の中華炒め</t>
  </si>
  <si>
    <t>①肉は調味料に漬け込み、野菜は食べやすい大きさに切ります。_x000D_</t>
  </si>
  <si>
    <t>②熱したごま油で肉・野菜の順に炒めて、漬け込んだタレを加えて調味して下さい。_x000D_</t>
  </si>
  <si>
    <t>冷凍レッドピーマンスライス</t>
  </si>
  <si>
    <t>かぼちゃの甘煮</t>
  </si>
  <si>
    <t>①かぼちゃは食べやすい大きさに切ります。_x000D_</t>
  </si>
  <si>
    <t>②みりん・正油・ひたひたのだし汁で煮て下さい。_x000D_</t>
  </si>
  <si>
    <t>冷凍かぼちゃＰ</t>
  </si>
  <si>
    <t>冷凍カットインゲンＰ</t>
  </si>
  <si>
    <t>8月9日(月)配達/8月11日(水)食</t>
    <phoneticPr fontId="3"/>
  </si>
  <si>
    <t>なすのナポリタン</t>
  </si>
  <si>
    <t>①麺は8～9分ゆでてバターを絡めます。肉は酒をふります。_x000D_</t>
  </si>
  <si>
    <t>③茹でたグリンピースを散らして下さい。_x000D_</t>
  </si>
  <si>
    <t>冷凍ナス素揚げ乱切りＰ</t>
  </si>
  <si>
    <t>キャベツのマヨサラダ</t>
  </si>
  <si>
    <t>①野菜は食べやすい大きさに切って茹で冷まします。_x000D_</t>
  </si>
  <si>
    <t>②調味料を煮立て冷まして、①を和えて下さい。_x000D_</t>
  </si>
  <si>
    <t>冷凍スナップエンドウＰ</t>
  </si>
  <si>
    <t>①芋は食べやすい大きさに切り、水にさらします。_x000D_</t>
  </si>
  <si>
    <t>冷凍大根いちょう切Ｐ</t>
  </si>
  <si>
    <t>8月9日(月)配達/8月12日(木)食</t>
    <phoneticPr fontId="3"/>
  </si>
  <si>
    <t>炊き込みピラフ</t>
  </si>
  <si>
    <t>かぼちゃコロッケ</t>
  </si>
  <si>
    <t>①かぼちゃは茹でる又は蒸すなどの加熱調理して、つぶして冷まします。_x000D_</t>
  </si>
  <si>
    <t>パン粉</t>
  </si>
  <si>
    <t>冷凍かぶ乱切りＰ</t>
  </si>
  <si>
    <t>8月10日(火)配達/8月13日(金)食</t>
    <phoneticPr fontId="3"/>
  </si>
  <si>
    <t>助宗タラのケチャマヨ焼き</t>
  </si>
  <si>
    <t>①玉ねぎは薄切りにし、油で炒めてあら熱が取れたら、マヨネーズ・ケチャップを加え混ぜ合わせます。_x000D_</t>
  </si>
  <si>
    <t>②魚は水気をよくふき取り小麦粉をまぶします。_x000D_</t>
  </si>
  <si>
    <t>③天板に油をしいて、②を並べて180～200度に温めたオーブンで10～15分焼いていったん取り出します。_x000D_</t>
  </si>
  <si>
    <t>④③の上に①をのせて、再びオーブンで5分くらい焼きます。_x000D_</t>
  </si>
  <si>
    <t>⑤野菜は熱した油で炒め、塩をふって添えて下さい。_x000D_</t>
  </si>
  <si>
    <t>①肉は酒をもみ込み、茹でる又は蒸すなどし、ほぐして冷まします。野菜は茹で冷まします。_x000D_</t>
  </si>
  <si>
    <t>②調味料は煮立て冷まし、①を和えて下さい。_x000D_</t>
  </si>
  <si>
    <t>冷凍花形人参Ｐ</t>
  </si>
  <si>
    <t>①野菜は茹で冷まします。_x000D_</t>
  </si>
  <si>
    <t>8月11日(水)配達/8月16日(月)食</t>
    <phoneticPr fontId="3"/>
  </si>
  <si>
    <t>8月16日(月)配達/8月17日(火)食</t>
    <phoneticPr fontId="3"/>
  </si>
  <si>
    <t>②熱した油で肉・野菜を炒めて、水・豆乳を加えて煮ます。_x000D_</t>
  </si>
  <si>
    <t>②①を煮立て冷ました調味料・ごまで和えて下さい_x000D_</t>
  </si>
  <si>
    <t>8月17日(火)配達/8月18日(水)食</t>
    <phoneticPr fontId="3"/>
  </si>
  <si>
    <t>●タコさんライス</t>
  </si>
  <si>
    <t>①野菜はみじん切りにします。_x000D_</t>
  </si>
  <si>
    <t>③ウインナーは切り込みを入れてタコ足にみたて、茹でます。_x000D_</t>
  </si>
  <si>
    <t>④輪切りにした竹輪・レーズンは茹で冷まします。_x000D_</t>
  </si>
  <si>
    <t>※写真を参照して盛り付けてください。_x000D_</t>
  </si>
  <si>
    <t>レーズン50ｇＰ</t>
  </si>
  <si>
    <t>※46</t>
  </si>
  <si>
    <t>①材料は食べやすい大きさに切って、なすは水にさらします。肉は酒をふります。_x000D_</t>
  </si>
  <si>
    <t>②フライパンにごま油を熱し、溶き玉子を炒めて半熟状になったら取り出します。_x000D_</t>
  </si>
  <si>
    <t>③ごま油で肉・野菜の順に炒めて調味し、②を戻し入れて下さい。_x000D_</t>
  </si>
  <si>
    <t>なす</t>
  </si>
  <si>
    <t>8月18日(水)配達/8月19日(木)食</t>
    <phoneticPr fontId="3"/>
  </si>
  <si>
    <t>8月19日(木)配達/8月20日(金)食</t>
    <phoneticPr fontId="3"/>
  </si>
  <si>
    <t>フルーツ（梨）</t>
  </si>
  <si>
    <t>8月20日(金)配達/8月23日(月)食</t>
    <phoneticPr fontId="3"/>
  </si>
  <si>
    <t>8月23日(月)配達/8月24日(火)食</t>
    <phoneticPr fontId="3"/>
  </si>
  <si>
    <t>8月24日(火)配達/8月25日(水)食</t>
    <phoneticPr fontId="3"/>
  </si>
  <si>
    <t>みるくスープ</t>
  </si>
  <si>
    <t>※牛乳は分離しやすいので弱火で煮て、煮立てすぎないようにご注意ください。_x000D_</t>
  </si>
  <si>
    <t>8月25日(水)配達/8月26日(木)食</t>
    <phoneticPr fontId="3"/>
  </si>
  <si>
    <t>8月26日(木)配達/8月27日(金)食</t>
    <phoneticPr fontId="3"/>
  </si>
  <si>
    <t>⑤食べやすい大きさに切った野菜は熱した油で炒め、塩をふって添えて下さい。_x000D_</t>
  </si>
  <si>
    <t>8月27日(金)配達/8月30日(月)食</t>
    <phoneticPr fontId="3"/>
  </si>
  <si>
    <t>8月30日(月)配達/8月31日(火)食</t>
    <phoneticPr fontId="3"/>
  </si>
  <si>
    <t>塩で味を調え、お好みで水溶き片栗粉でとろみをつけてください。</t>
  </si>
  <si>
    <t>ごまサラダ</t>
  </si>
  <si>
    <t xml:space="preserve">③フライパンに油を熱して②を炒め、麺を加えて炒め合わせます。
</t>
    <phoneticPr fontId="18"/>
  </si>
  <si>
    <t>塩・こしょう・ウスターソースで調味し、あおさ粉をふってください。</t>
  </si>
  <si>
    <t xml:space="preserve">②ケーキミックスに牛乳（量は調節してください）を数回に分けて加え混ぜ衣を作り、
</t>
    <phoneticPr fontId="18"/>
  </si>
  <si>
    <t>ウインナーをくぐらせて絡め揚げて下さい。</t>
  </si>
  <si>
    <t xml:space="preserve">①魚はサイコロ状又は食べやすい大きさに切って水気をふき取り、片栗粉をまぶします。
</t>
    <phoneticPr fontId="18"/>
  </si>
  <si>
    <t>野菜は食べやすい大きさに切ります。</t>
  </si>
  <si>
    <t>食べやすい大きさに切った野菜は茹で冷まします。</t>
  </si>
  <si>
    <t>サラダ</t>
  </si>
  <si>
    <t xml:space="preserve">②材料は食べやすい大きさに切って油で炒め合わせ、
</t>
    <phoneticPr fontId="18"/>
  </si>
  <si>
    <t>めんを加えてケチャップ・ウスターソース・砂糖で調味します。</t>
  </si>
  <si>
    <t>上に食べやすい大きさに切った材料を広げてのせ、炊飯して下さい。</t>
  </si>
  <si>
    <t>160～170℃の油で揚げます。</t>
  </si>
  <si>
    <t xml:space="preserve">⑤ピラフが炊き上がったら平らな円形状に盛り付けて、レーズンを目に、竹輪を口に、
</t>
    <phoneticPr fontId="18"/>
  </si>
  <si>
    <t>ウインナーを足に見立ててタコを作って下さい。</t>
  </si>
  <si>
    <t xml:space="preserve">②炊飯器に洗った米にケチャップ・バター・水（調味料と合わせて通常の水加減）を入れて軽く混ぜ、
</t>
    <phoneticPr fontId="18"/>
  </si>
  <si>
    <t>上に①を広げてのせ、炊飯します。</t>
  </si>
  <si>
    <t>豚肉と夏野菜の</t>
    <phoneticPr fontId="18"/>
  </si>
  <si>
    <t>中華玉子炒め</t>
  </si>
  <si>
    <t xml:space="preserve">②材料は食べやすい大きさに切って、なすは水にさらします。
</t>
    <phoneticPr fontId="18"/>
  </si>
  <si>
    <t>油で炒め合わせ、めんを加えてケチャップ・ウスターソース・砂糖で調味します。</t>
  </si>
  <si>
    <t>★イベントメニュー★</t>
  </si>
  <si>
    <t xml:space="preserve">①材料は食べやすい大きさに切り、ごぼうは水にさらし、こんにゃくは細かく刻んで下茹でします。
</t>
    <rPh sb="38" eb="39">
      <t>シタ</t>
    </rPh>
    <phoneticPr fontId="18"/>
  </si>
  <si>
    <t xml:space="preserve">①材料は食べやすい大きさに切り、ごぼうは水にさらし、こんにゃくは細かく刻んで下茹でします。
</t>
    <phoneticPr fontId="18"/>
  </si>
  <si>
    <t xml:space="preserve">②①・チンゲン菜をバターで炒めます。水・コンソメを加えて煮、やわらかくなったら豆乳を加えてさらに煮、
</t>
    <rPh sb="7" eb="8">
      <t>サイ</t>
    </rPh>
    <phoneticPr fontId="18"/>
  </si>
  <si>
    <t xml:space="preserve">②①・チンゲン菜をバターで炒めます。水・コンソメを加えて煮、やわらかくなったら牛乳を加えてさらに煮、
</t>
    <rPh sb="7" eb="8">
      <t>サイ</t>
    </rPh>
    <phoneticPr fontId="18"/>
  </si>
  <si>
    <t xml:space="preserve">①肉は食べやすい大きさに切ります。
</t>
    <rPh sb="1" eb="2">
      <t>ニク</t>
    </rPh>
    <phoneticPr fontId="18"/>
  </si>
  <si>
    <t xml:space="preserve">②熱した油で、肉・大根の順に炒めて、調味料・人参を加えて煮て下さい。
</t>
    <rPh sb="9" eb="11">
      <t>ダイコン</t>
    </rPh>
    <rPh sb="22" eb="24">
      <t>ニンジン</t>
    </rPh>
    <phoneticPr fontId="18"/>
  </si>
  <si>
    <t xml:space="preserve">①食べやすい大きさに切った野菜は茹で冷まします。
</t>
    <rPh sb="1" eb="2">
      <t>タ</t>
    </rPh>
    <rPh sb="6" eb="7">
      <t>オオ</t>
    </rPh>
    <rPh sb="10" eb="11">
      <t>キ</t>
    </rPh>
    <phoneticPr fontId="18"/>
  </si>
  <si>
    <t xml:space="preserve">※芋をやわらかくなるまで電子レンジで加熱又は茹で冷まし、他の材料を煮込んだ後に加えると、
</t>
    <phoneticPr fontId="3"/>
  </si>
  <si>
    <t>煮崩れを防ぐことができます。</t>
  </si>
  <si>
    <t>ほうれん草とごぼうの</t>
    <phoneticPr fontId="3"/>
  </si>
  <si>
    <t xml:space="preserve">①洗った米に調味料・水（通常の炊飯水量）を加えて軽く混ぜ、
</t>
    <phoneticPr fontId="3"/>
  </si>
  <si>
    <t>②玉ねぎはみじん切りにし、熱した油で汁気をきったツナと共に炒め合わせて、塩・コショウして冷まします。_x000D_</t>
  </si>
  <si>
    <t xml:space="preserve">③①・②を混ぜ合わせて小判型にまとめ、小麦粉・水溶き小麦粉・パン粉の順にまぶして、
</t>
    <phoneticPr fontId="3"/>
  </si>
  <si>
    <t>④水・砂糖で煮た人参・食べやすい大きさに切って茹でたブロッコリーを添え、お好みでソースをかけて下さい。_x000D_</t>
  </si>
  <si>
    <t>鶏ささみとチンゲン菜の</t>
    <phoneticPr fontId="3"/>
  </si>
  <si>
    <t xml:space="preserve">※ささみは砂糖を揉み込み水から茹でることで、やわらかく仕上げることができます
</t>
    <phoneticPr fontId="3"/>
  </si>
  <si>
    <t>（目安：ささみ100ｇに対して砂糖小さじ1/2）。</t>
    <phoneticPr fontId="3"/>
  </si>
  <si>
    <t xml:space="preserve">①肉は酒をもみ込み、茹でる又は蒸すなどし、ほぐして冷まします。
</t>
    <phoneticPr fontId="3"/>
  </si>
  <si>
    <t>（目安：ささみ100ｇに対して砂糖小さじ1/2）。</t>
  </si>
  <si>
    <t>水菜</t>
  </si>
  <si>
    <t xml:space="preserve">※芋をやわらかくなるまで電子レンジで加熱又は茹で冷まし、他の材料を煮込んだ後に加えると、
</t>
    <phoneticPr fontId="19"/>
  </si>
  <si>
    <t>ほうれん草とごぼうの</t>
    <phoneticPr fontId="19"/>
  </si>
  <si>
    <t>梨</t>
  </si>
  <si>
    <t>梨</t>
    <rPh sb="0" eb="1">
      <t>ナシ</t>
    </rPh>
    <phoneticPr fontId="18"/>
  </si>
  <si>
    <t>離乳食</t>
    <rPh sb="0" eb="3">
      <t>リニュウショク</t>
    </rPh>
    <phoneticPr fontId="3"/>
  </si>
  <si>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</si>
  <si>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</si>
  <si>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</si>
  <si>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</si>
  <si>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使用食材一覧</t>
    <rPh sb="0" eb="2">
      <t>シヨウ</t>
    </rPh>
    <rPh sb="2" eb="4">
      <t>ショクザイ</t>
    </rPh>
    <rPh sb="4" eb="6">
      <t>イチラン</t>
    </rPh>
    <phoneticPr fontId="3"/>
  </si>
  <si>
    <t>月</t>
  </si>
  <si>
    <t>かゆ</t>
  </si>
  <si>
    <t>おかゆ・シロイトタラ・小松菜・出し汁・鶏肉・大根・人参・醤油・砂糖・玉子・味噌・オレンジ</t>
  </si>
  <si>
    <t>かゆペースト</t>
  </si>
  <si>
    <t>おかゆ・シロイトタラ・小松菜・大根・人参・オレンジ</t>
  </si>
  <si>
    <t>火</t>
  </si>
  <si>
    <t>おかゆ・豚肉・玉ねぎ・じゃが芋・人参・豆乳・水・精製塩・ほうれん草・ごぼう</t>
  </si>
  <si>
    <t>おかゆ・鶏肉・玉ねぎ・じゃが芋・人参・豆乳・水・精製塩・ほうれん草</t>
  </si>
  <si>
    <t>おかゆ・玉ねぎ・じゃが芋・人参・豆乳・ほうれん草</t>
  </si>
  <si>
    <t>白糸タラと小松菜のくたくた煮</t>
  </si>
  <si>
    <t>白糸タラ・小松菜ペースト</t>
  </si>
  <si>
    <t>豚肉とじゃが芋の豆乳煮</t>
  </si>
  <si>
    <t>鶏肉とじゃが芋の豆乳煮</t>
  </si>
  <si>
    <t>野菜の豆乳煮ペースト</t>
  </si>
  <si>
    <t>鶏肉と大根のだし煮</t>
  </si>
  <si>
    <t>大根・人参ペースト</t>
  </si>
  <si>
    <t>ほうれん草とごぼうのサラダ</t>
  </si>
  <si>
    <t>ほうれん草のサラダ</t>
  </si>
  <si>
    <t>ほうれん草ペースト</t>
  </si>
  <si>
    <t>みそ汁・フルーツ（オレンジ）</t>
    <phoneticPr fontId="3"/>
  </si>
  <si>
    <t>おかゆ・豚肉・玉ねぎ・じゃが芋・人参・牛乳・水・精製塩・ほうれん草・ごぼう</t>
  </si>
  <si>
    <t>おかゆ・鶏肉・玉ねぎ・じゃが芋・人参・牛乳・水・精製塩・ほうれん草</t>
  </si>
  <si>
    <t>おかゆ・玉ねぎ・じゃが芋・人参・ほうれん草</t>
  </si>
  <si>
    <t>おかゆ・豚肉・玉子・玉ねぎ・なす・パプリカ赤・ピーマン・出し汁・砂糖・醤油・白菜・ソーメン・ヨーグルト</t>
  </si>
  <si>
    <t>おかゆ・鶏肉・玉子・玉ねぎ・なす・パプリカ赤・ピーマン・出し汁・砂糖・醤油・白菜・ソーメン・ヨーグルト</t>
  </si>
  <si>
    <t>おかゆ・玉ねぎ・白菜・ヨーグルト</t>
  </si>
  <si>
    <t>豚肉とじゃが芋のミルク煮</t>
  </si>
  <si>
    <t>鶏肉とじゃが芋のミルク煮</t>
  </si>
  <si>
    <t>玉ねぎ・じゃが芋・人参ペースト</t>
  </si>
  <si>
    <t>豚肉と野菜の玉子とじ煮</t>
  </si>
  <si>
    <t>鶏肉と野菜の玉子とじ煮</t>
  </si>
  <si>
    <t>玉ねぎペースト</t>
  </si>
  <si>
    <t>白菜ペースト</t>
  </si>
  <si>
    <t>おかゆ・豚肉・人参・キャベツ・出し汁・砂糖・醤油・とうもろこし・玉ねぎ・バナナ</t>
  </si>
  <si>
    <t>おかゆ・鶏肉・人参・キャベツ・出し汁・砂糖・醤油・とうもろこし・玉ねぎ・バナナ</t>
  </si>
  <si>
    <t>おかゆ・玉ねぎ・とうもろこし・キャベツ・人参・バナナ</t>
  </si>
  <si>
    <t>木</t>
  </si>
  <si>
    <t>おかゆ・鶏肉・ブロッコリー・トマト・水・精製塩・大豆・人参・ごぼう・出し汁・焼ふ・味噌</t>
  </si>
  <si>
    <t>おかゆ・鶏肉・ブロッコリー・トマト・水・精製塩・人参・出し汁・焼ふ・味噌</t>
  </si>
  <si>
    <t>おかゆ・トマト・ブロッコリー・人参</t>
  </si>
  <si>
    <t>豚肉と野菜のくたくた煮</t>
    <phoneticPr fontId="3"/>
  </si>
  <si>
    <t>鶏肉と野菜のくたくた煮</t>
    <phoneticPr fontId="3"/>
  </si>
  <si>
    <t>玉ねぎ・コーンペースト</t>
  </si>
  <si>
    <t>鶏肉とブロッコリーのトマト煮</t>
  </si>
  <si>
    <t>トマト・ブロッコリーペースト</t>
  </si>
  <si>
    <t>コーンと玉ねぎのコトコト煮</t>
  </si>
  <si>
    <t>キャベツ・人参ペースト</t>
  </si>
  <si>
    <t>大豆と野菜のだし煮</t>
  </si>
  <si>
    <t>人参のだし煮</t>
  </si>
  <si>
    <t>人参ペースト</t>
  </si>
  <si>
    <t>バナナペースト</t>
  </si>
  <si>
    <t>金</t>
  </si>
  <si>
    <t>おかゆ・カラスカレイ・玉ねぎ・パプリカ赤・ピーマン・出し汁・小松菜・人参・コーン・玉子・味噌・梨</t>
  </si>
  <si>
    <t>おかゆ・カラスカレイ・玉ねぎ・小松菜・人参・コーン・梨</t>
  </si>
  <si>
    <t>カラスカレイの野菜煮</t>
  </si>
  <si>
    <t>カラスカレイ・玉ねぎペースト</t>
  </si>
  <si>
    <t>小松菜・人参・コーンペースト</t>
  </si>
  <si>
    <t>みそ汁・フルーツ（梨）</t>
    <phoneticPr fontId="3"/>
  </si>
  <si>
    <t>梨ペースト</t>
  </si>
  <si>
    <t>おかゆ・カラスカレイ・玉ねぎ・パプリカ赤・ピーマン・出し汁・小松菜・人参・コーン・玉子・味噌・ヨーグルト・砂糖</t>
  </si>
  <si>
    <t>おかゆ・カラスカレイ・玉ねぎ・小松菜・人参・コーン・ヨーグルト</t>
  </si>
  <si>
    <t>土</t>
  </si>
  <si>
    <t>おかゆ・さつまいも・かぼちゃ・にんじん・玉ねぎ・タラ・豆乳</t>
  </si>
  <si>
    <t>さつまいもとかぼちゃのやわらか煮</t>
  </si>
  <si>
    <t>白身魚と野菜の洋風煮込み</t>
    <rPh sb="0" eb="3">
      <t>シロミザカナ</t>
    </rPh>
    <rPh sb="4" eb="6">
      <t>ヤサイ</t>
    </rPh>
    <rPh sb="7" eb="9">
      <t>ヨウフウ</t>
    </rPh>
    <rPh sb="9" eb="11">
      <t>ニコ</t>
    </rPh>
    <phoneticPr fontId="22"/>
  </si>
  <si>
    <t>みそ汁・ヨーグルト</t>
    <phoneticPr fontId="3"/>
  </si>
  <si>
    <t>おかゆ・豚肉・玉ねぎ・カットトマトパック・水・精製塩・豆腐・人参・コーン</t>
  </si>
  <si>
    <t>おかゆ・鶏肉・玉ねぎ・カットトマトパック・水・精製塩・豆腐・人参・コーン</t>
  </si>
  <si>
    <t>おかゆ・玉ねぎ・カットトマトパック・豆腐・人参・コーン</t>
  </si>
  <si>
    <t>豚肉のトマト煮</t>
  </si>
  <si>
    <t>鶏肉のトマト煮</t>
  </si>
  <si>
    <t>玉ねぎのトマト煮ペースト</t>
  </si>
  <si>
    <t>豆腐サラダ</t>
  </si>
  <si>
    <t>豆腐の野菜煮ペースト</t>
  </si>
  <si>
    <t>おかゆ・鶏肉・玉ねぎ・ほうれん草・パプリカ赤・出し汁・砂糖・醤油・かぼちゃ・ワカメ・味噌</t>
  </si>
  <si>
    <t>おかゆ・玉ねぎ・ほうれん草・かぼちゃ</t>
  </si>
  <si>
    <t>鶏肉と野菜のくたくた煮</t>
  </si>
  <si>
    <t>玉ねぎ・ほうれん草ペースト</t>
  </si>
  <si>
    <t>おかゆ・鶏肉・玉ねぎ・ほうれん草・赤ピーマン・出し汁・砂糖・醤油・かぼちゃ・ワカメ・味噌</t>
  </si>
  <si>
    <t>かぼちゃのマッシュ</t>
  </si>
  <si>
    <t>かぼちゃペースト</t>
  </si>
  <si>
    <t>おかゆ・豚肉・玉ねぎ・なす・出し汁・砂糖・醤油・キャベツ・きゅうり・じゃが芋・チンゲン菜・牛乳・水</t>
  </si>
  <si>
    <t>おかゆ・鶏肉・玉ねぎ・なす・出し汁・砂糖・醤油・キャベツ・きゅうり・じゃが芋・チンゲン菜・牛乳・水</t>
  </si>
  <si>
    <t>おかゆ・キャベツ・玉ねぎ・じゃが芋・チンゲン菜</t>
  </si>
  <si>
    <t>豚肉と玉ねぎのやわらか煮</t>
  </si>
  <si>
    <t>鶏肉と玉ねぎのやわらか煮</t>
  </si>
  <si>
    <t>キャベツ・玉ねぎペースト</t>
  </si>
  <si>
    <t>おかゆ・豚肉・玉ねぎ・出し汁・砂糖・醤油・キャベツ・スナップエンドウ・じゃが芋・チンゲン菜・豆乳・水</t>
  </si>
  <si>
    <t>おかゆ・鶏肉・玉ねぎ・出し汁・砂糖・醤油・キャベツ・じゃが芋・チンゲン菜・豆乳・水</t>
  </si>
  <si>
    <t>おかゆ・キャベツ・玉ねぎ・じゃが芋・チンゲン菜・豆乳</t>
  </si>
  <si>
    <t>キャベツのサラダ</t>
  </si>
  <si>
    <t>じゃが芋・チンゲン菜ペースト</t>
  </si>
  <si>
    <t>鶏肉とコーンのかゆ</t>
  </si>
  <si>
    <t>おかゆ・コーン・鶏肉・かぼちゃ・玉ねぎ・人参・ブロッコリー・出し汁・玉子・水・梨</t>
  </si>
  <si>
    <t>コーンかゆペースト</t>
  </si>
  <si>
    <t>おかゆ・コーン・かぼちゃ・人参・玉ねぎ・ブロッコリー・梨</t>
  </si>
  <si>
    <t>かぼちゃのほくほく煮</t>
  </si>
  <si>
    <t>かぼちゃ・人参ペースト</t>
  </si>
  <si>
    <t>おかゆ・コーン・鶏肉・かぼちゃ・玉ねぎ・人参・ブロッコリー・出し汁・かぶ・水</t>
  </si>
  <si>
    <t>おかゆ・コーン・かぼちゃ・人参・玉ねぎ・ブロッコリー・かぶ</t>
  </si>
  <si>
    <t>玉ねぎ・ブロッコリーペースト</t>
  </si>
  <si>
    <t>玉ねぎ・ブロッコリー・かぶペースト</t>
  </si>
  <si>
    <t>おかゆ・スケソウタラ・玉ねぎ・白菜・出し汁・鶏肉・チンゲン菜・人参・焼ふ・味噌・バナナ</t>
  </si>
  <si>
    <t>おかゆ・スケソウタラ・玉ねぎ・白菜・チンゲン菜・人参・バナナ</t>
  </si>
  <si>
    <t>助宗タラと白菜のくたくた煮</t>
  </si>
  <si>
    <t>助宗タラ・玉ねぎ・白菜ペースト</t>
  </si>
  <si>
    <t>おかゆ・スケソウタラ・玉ねぎ・白菜・出し汁・鶏肉・チンゲン菜・人参・焼ふ・味噌</t>
  </si>
  <si>
    <t>おかゆ・スケソウタラ・玉ねぎ・白菜・チンゲン菜・人参</t>
  </si>
  <si>
    <t>鶏肉とチンゲン菜の和え物</t>
  </si>
  <si>
    <t>チンゲン菜・人参ペースト</t>
  </si>
  <si>
    <t>みそ汁・フルーツ（バナナ）</t>
    <phoneticPr fontId="3"/>
  </si>
  <si>
    <t>おかゆ・シロイトタラ・小松菜・出し汁・鶏肉・大根・人参・醤油・砂糖・インゲン・味噌</t>
  </si>
  <si>
    <t>おかゆ・シロイトタラ・小松菜・大根・人参・インゲン</t>
  </si>
  <si>
    <t>大根・人参・インゲンペースト</t>
  </si>
  <si>
    <t>少々</t>
  </si>
  <si>
    <t>適量</t>
  </si>
  <si>
    <t>卵黄</t>
  </si>
  <si>
    <t>おかゆ</t>
  </si>
  <si>
    <t>50～80</t>
  </si>
  <si>
    <t>80～90</t>
  </si>
  <si>
    <t>分量</t>
    <rPh sb="0" eb="2">
      <t>ブンリョウ</t>
    </rPh>
    <phoneticPr fontId="3"/>
  </si>
  <si>
    <t>材料名</t>
    <rPh sb="0" eb="2">
      <t>ザイリョウ</t>
    </rPh>
    <rPh sb="2" eb="3">
      <t>メイ</t>
    </rPh>
    <phoneticPr fontId="3"/>
  </si>
  <si>
    <t>調味料</t>
    <rPh sb="0" eb="3">
      <t>チョウミリョウ</t>
    </rPh>
    <phoneticPr fontId="3"/>
  </si>
  <si>
    <t>すりつぶし</t>
    <phoneticPr fontId="3"/>
  </si>
  <si>
    <t>みじん切り、つぶし</t>
    <rPh sb="3" eb="4">
      <t>ギ</t>
    </rPh>
    <phoneticPr fontId="3"/>
  </si>
  <si>
    <t>5ｍｍ～1ｃｍ</t>
    <phoneticPr fontId="3"/>
  </si>
  <si>
    <t>大きさ</t>
    <rPh sb="0" eb="1">
      <t>オオ</t>
    </rPh>
    <phoneticPr fontId="3"/>
  </si>
  <si>
    <t>5～6ヶ月</t>
    <rPh sb="4" eb="5">
      <t>ゲツ</t>
    </rPh>
    <phoneticPr fontId="3"/>
  </si>
  <si>
    <t>7～8ヶ月</t>
    <rPh sb="4" eb="5">
      <t>ゲツ</t>
    </rPh>
    <phoneticPr fontId="3"/>
  </si>
  <si>
    <t>9～11ヶ月</t>
    <rPh sb="5" eb="6">
      <t>ゲツ</t>
    </rPh>
    <phoneticPr fontId="3"/>
  </si>
  <si>
    <t>月齢</t>
    <rPh sb="0" eb="1">
      <t>ゲツ</t>
    </rPh>
    <rPh sb="1" eb="2">
      <t>レイ</t>
    </rPh>
    <phoneticPr fontId="3"/>
  </si>
  <si>
    <t>材料</t>
    <rPh sb="0" eb="2">
      <t>ザイリョウ</t>
    </rPh>
    <phoneticPr fontId="3"/>
  </si>
  <si>
    <t xml:space="preserve">特定アレルギー表示
※下記をご確認下さい
</t>
    <phoneticPr fontId="3"/>
  </si>
  <si>
    <t>小麦※14</t>
    <phoneticPr fontId="3"/>
  </si>
  <si>
    <t>昼食</t>
    <rPh sb="0" eb="2">
      <t>チュウショク</t>
    </rPh>
    <phoneticPr fontId="3"/>
  </si>
  <si>
    <t>３色食品群</t>
    <rPh sb="1" eb="2">
      <t>ショク</t>
    </rPh>
    <rPh sb="2" eb="5">
      <t>ショクヒングン</t>
    </rPh>
    <phoneticPr fontId="3"/>
  </si>
  <si>
    <t>3色食品群以外の
使用食材</t>
    <rPh sb="1" eb="2">
      <t>ショク</t>
    </rPh>
    <rPh sb="2" eb="5">
      <t>ショクヒングン</t>
    </rPh>
    <rPh sb="5" eb="7">
      <t>イガイ</t>
    </rPh>
    <rPh sb="9" eb="11">
      <t>シヨウ</t>
    </rPh>
    <rPh sb="11" eb="13">
      <t>ショクザイ</t>
    </rPh>
    <phoneticPr fontId="3"/>
  </si>
  <si>
    <t>3～5歳児</t>
    <rPh sb="3" eb="4">
      <t>サイ</t>
    </rPh>
    <rPh sb="4" eb="5">
      <t>ジ</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</si>
  <si>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</si>
  <si>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</si>
  <si>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</si>
  <si>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</si>
  <si>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</si>
  <si>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</si>
  <si>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ご飯・砂糖・油</t>
  </si>
  <si>
    <t>シロイトタラ・チーズ・玉子・鶏肉・味噌・油揚げ</t>
  </si>
  <si>
    <t>オレンジ・小松菜・人参・大根</t>
  </si>
  <si>
    <t>こしょう・みりん風調味料・出し汁・醤油・精製塩</t>
  </si>
  <si>
    <t>kcal</t>
  </si>
  <si>
    <t>乳・卵・小麦</t>
  </si>
  <si>
    <t>ごま・ご飯・じゃが芋・マヨネーズ・砂糖・油</t>
  </si>
  <si>
    <t>豆乳・豚肉</t>
  </si>
  <si>
    <t>ごぼう・ほうれん草・黄桃缶・玉ねぎ・人参</t>
  </si>
  <si>
    <t>ケチャップ・とろけるカレー　甘口・酒・醤油・水</t>
  </si>
  <si>
    <t>ｇ</t>
    <phoneticPr fontId="3"/>
  </si>
  <si>
    <t>マカロニきなこ</t>
    <phoneticPr fontId="37"/>
  </si>
  <si>
    <t>ほうれん草とごぼうのごまサラダ</t>
  </si>
  <si>
    <t>豆腐ドーナツ</t>
    <rPh sb="0" eb="2">
      <t>トウフ</t>
    </rPh>
    <phoneticPr fontId="37"/>
  </si>
  <si>
    <t>g</t>
    <phoneticPr fontId="3"/>
  </si>
  <si>
    <t>牛乳・豚肉</t>
  </si>
  <si>
    <t>kcal</t>
    <phoneticPr fontId="3"/>
  </si>
  <si>
    <t>18
水</t>
    <rPh sb="3" eb="4">
      <t>スイ</t>
    </rPh>
    <phoneticPr fontId="3"/>
  </si>
  <si>
    <t>イベント献立</t>
    <rPh sb="4" eb="6">
      <t>コンダテ</t>
    </rPh>
    <phoneticPr fontId="3"/>
  </si>
  <si>
    <t>ごま油・ご飯・ソーメン・バター・砂糖</t>
  </si>
  <si>
    <t>ウインナー・ヨーグルト・玉子・竹輪・豚肉</t>
    <phoneticPr fontId="3"/>
  </si>
  <si>
    <t>なす・パプリカ赤・ピーマン・レーズン・玉ねぎ・白菜</t>
  </si>
  <si>
    <t>ケチャップ・酒・出し汁・醤油・水・精製塩・中華味</t>
  </si>
  <si>
    <t>乳・卵・小麦_x000D_
※14・※46・※92</t>
    <phoneticPr fontId="3"/>
  </si>
  <si>
    <t>オレンジジャムサンド</t>
    <phoneticPr fontId="37"/>
  </si>
  <si>
    <t>豚肉と夏野菜の中華玉子炒め</t>
  </si>
  <si>
    <t>ツナとコーンのチャーハン</t>
    <phoneticPr fontId="37"/>
  </si>
  <si>
    <t>4
水</t>
    <rPh sb="2" eb="3">
      <t>スイ</t>
    </rPh>
    <phoneticPr fontId="3"/>
  </si>
  <si>
    <t>バター・ホットケーキミックス・中華めん・油</t>
  </si>
  <si>
    <t>ウインナー・牛乳・竹輪・豚肉</t>
    <phoneticPr fontId="3"/>
  </si>
  <si>
    <t>あおさ粉・キャベツ・とうもろこし・バナナ・玉ねぎ・人参</t>
  </si>
  <si>
    <t>ウスターソース・こしょう・酒・醤油・精製塩</t>
  </si>
  <si>
    <t>乳・卵・小麦_x000D_
※54・※92</t>
    <phoneticPr fontId="3"/>
  </si>
  <si>
    <t>ごま油・こんにゃく・ご飯・砂糖・焼ふ・片栗粉・油</t>
  </si>
  <si>
    <t>鶏肉・大豆・味噌・油揚げ</t>
  </si>
  <si>
    <t>ごぼう・トマト・ブロッコリー・枝豆・人参</t>
  </si>
  <si>
    <t>みりん風調味料・酒・出し汁・醤油・酢</t>
  </si>
  <si>
    <t>ちりめんじゃこのおにぎり</t>
    <phoneticPr fontId="37"/>
  </si>
  <si>
    <t>そうめん</t>
    <phoneticPr fontId="37"/>
  </si>
  <si>
    <t>ご飯・砂糖・片栗粉・油</t>
  </si>
  <si>
    <t>カラスカレイ・玉子・味噌</t>
  </si>
  <si>
    <t>コーン・パプリカ赤・ピーマン・玉ねぎ・小松菜・人参・長ねぎ・梨</t>
  </si>
  <si>
    <t>ふりかけ・みりん風調味料・出し汁・醤油・酢・水・精製塩</t>
  </si>
  <si>
    <t>卵・小麦_x000D_
※18</t>
    <phoneticPr fontId="3"/>
  </si>
  <si>
    <t>広島焼風お好み焼き</t>
    <rPh sb="0" eb="3">
      <t>ヒロシマヤキ</t>
    </rPh>
    <rPh sb="3" eb="4">
      <t>フウ</t>
    </rPh>
    <rPh sb="5" eb="6">
      <t>コノ</t>
    </rPh>
    <rPh sb="7" eb="8">
      <t>ヤ</t>
    </rPh>
    <phoneticPr fontId="37"/>
  </si>
  <si>
    <t>パイ</t>
    <phoneticPr fontId="37"/>
  </si>
  <si>
    <t>せんべい</t>
    <phoneticPr fontId="37"/>
  </si>
  <si>
    <t>&lt;６日　広島原爆の日&gt;</t>
    <rPh sb="2" eb="3">
      <t>ヒ</t>
    </rPh>
    <rPh sb="4" eb="6">
      <t>ヒロシマ</t>
    </rPh>
    <rPh sb="6" eb="8">
      <t>ゲンバク</t>
    </rPh>
    <rPh sb="9" eb="10">
      <t>ヒ</t>
    </rPh>
    <phoneticPr fontId="37"/>
  </si>
  <si>
    <t>カラスカレイ・ヨーグルト・玉子・味噌</t>
  </si>
  <si>
    <t>コーン・パプリカ赤・ピーマン・玉ねぎ・小松菜・人参・長ねぎ</t>
  </si>
  <si>
    <t>乳・卵・小麦_x000D_
※18</t>
    <phoneticPr fontId="3"/>
  </si>
  <si>
    <t>野菜あんかけ丼</t>
    <rPh sb="0" eb="2">
      <t>ヤサイ</t>
    </rPh>
    <rPh sb="6" eb="7">
      <t>ドン</t>
    </rPh>
    <phoneticPr fontId="37"/>
  </si>
  <si>
    <t>ご飯・じゃが芋・砂糖・油・ごま油</t>
    <rPh sb="1" eb="2">
      <t>ハン</t>
    </rPh>
    <rPh sb="6" eb="7">
      <t>イモ</t>
    </rPh>
    <rPh sb="8" eb="10">
      <t>サトウ</t>
    </rPh>
    <rPh sb="11" eb="12">
      <t>アブラ</t>
    </rPh>
    <rPh sb="15" eb="16">
      <t>アブラ</t>
    </rPh>
    <phoneticPr fontId="37"/>
  </si>
  <si>
    <t>豚肉・ツナフレーク缶</t>
    <rPh sb="0" eb="2">
      <t>ブタニク</t>
    </rPh>
    <rPh sb="9" eb="10">
      <t>カン</t>
    </rPh>
    <phoneticPr fontId="37"/>
  </si>
  <si>
    <t>コーン・人参・キャベツ・大根・いんげん・玉葱・シイタケ・南瓜・黄桃缶</t>
    <rPh sb="4" eb="6">
      <t>ニンジン</t>
    </rPh>
    <rPh sb="12" eb="14">
      <t>ダイコン</t>
    </rPh>
    <rPh sb="20" eb="22">
      <t>タマネギ</t>
    </rPh>
    <rPh sb="28" eb="30">
      <t>カボチャ</t>
    </rPh>
    <rPh sb="31" eb="33">
      <t>オウトウ</t>
    </rPh>
    <rPh sb="33" eb="34">
      <t>カン</t>
    </rPh>
    <phoneticPr fontId="37"/>
  </si>
  <si>
    <t>精製塩・醤油・酢</t>
    <rPh sb="0" eb="2">
      <t>セイセイ</t>
    </rPh>
    <rPh sb="2" eb="3">
      <t>エン</t>
    </rPh>
    <rPh sb="4" eb="6">
      <t>ショウユ</t>
    </rPh>
    <rPh sb="7" eb="8">
      <t>ス</t>
    </rPh>
    <phoneticPr fontId="37"/>
  </si>
  <si>
    <t>カステラ</t>
    <phoneticPr fontId="37"/>
  </si>
  <si>
    <t>ほうれん草の中華サラダ</t>
    <rPh sb="6" eb="8">
      <t>チュウカ</t>
    </rPh>
    <phoneticPr fontId="37"/>
  </si>
  <si>
    <t>クッキー</t>
    <phoneticPr fontId="37"/>
  </si>
  <si>
    <t>クラッカー</t>
    <phoneticPr fontId="37"/>
  </si>
  <si>
    <t>フルーツ（黄桃缶）</t>
    <phoneticPr fontId="37"/>
  </si>
  <si>
    <t>&lt;９日　長崎原爆の日&gt;</t>
    <rPh sb="2" eb="3">
      <t>ヒ</t>
    </rPh>
    <rPh sb="4" eb="6">
      <t>ナガサキ</t>
    </rPh>
    <rPh sb="6" eb="8">
      <t>ゲンバク</t>
    </rPh>
    <rPh sb="9" eb="10">
      <t>ヒ</t>
    </rPh>
    <phoneticPr fontId="37"/>
  </si>
  <si>
    <t>ほうれん草の中華サラダ</t>
    <rPh sb="4" eb="5">
      <t>ソウ</t>
    </rPh>
    <rPh sb="6" eb="8">
      <t>チュウカ</t>
    </rPh>
    <phoneticPr fontId="37"/>
  </si>
  <si>
    <t>ツナフレーク缶・豆腐・豚肉</t>
  </si>
  <si>
    <t>カットトマトパック・コーン・玉ねぎ・人参・白桃缶・冷凍グリンピースＰ</t>
  </si>
  <si>
    <t>とろけるハヤシ・酒・醤油・酢・水・精製塩</t>
  </si>
  <si>
    <t>白くま風蒸しパン</t>
    <rPh sb="0" eb="1">
      <t>シロ</t>
    </rPh>
    <rPh sb="3" eb="4">
      <t>フウ</t>
    </rPh>
    <rPh sb="4" eb="5">
      <t>ム</t>
    </rPh>
    <phoneticPr fontId="37"/>
  </si>
  <si>
    <t>&lt;処暑&gt;</t>
    <rPh sb="1" eb="3">
      <t>ショショ</t>
    </rPh>
    <phoneticPr fontId="37"/>
  </si>
  <si>
    <t>ごま油・ご飯・砂糖</t>
  </si>
  <si>
    <t>鶏肉・味噌・油揚げ</t>
  </si>
  <si>
    <t>かぼちゃ・パプリカ赤・ほうれん草・ワカメ・玉ねぎ</t>
  </si>
  <si>
    <t>みりん風調味料・酒・出し汁・醤油</t>
  </si>
  <si>
    <t>かぼちゃ・ほうれん草・ワカメ・玉ねぎ・赤ピーマン</t>
  </si>
  <si>
    <t>チーズ入りカップケーキ</t>
    <rPh sb="3" eb="4">
      <t>イ</t>
    </rPh>
    <phoneticPr fontId="37"/>
  </si>
  <si>
    <t>じゃが芋・スパゲッティ・バター・マヨネーズ・砂糖・片栗粉・油</t>
  </si>
  <si>
    <t>キャベツ・きゅうり・チンゲン菜・なす・玉ねぎ・冷凍グリンピースＰ</t>
  </si>
  <si>
    <t>ウスターソース・ケチャップ・コンソメ・酒・醤油・水・精製塩</t>
  </si>
  <si>
    <t>キャベツ・スナップエンドウ・チンゲン菜・なす・玉ねぎ・冷凍グリンピースＰ</t>
  </si>
  <si>
    <t>ウエハース</t>
    <phoneticPr fontId="37"/>
  </si>
  <si>
    <t>ご飯・バター・パン粉・小麦粉・油</t>
  </si>
  <si>
    <t>ツナフレーク缶・玉子・鶏肉</t>
  </si>
  <si>
    <t>かぼちゃ・コーン・ブロッコリー・玉ねぎ・人参・長ねぎ・梨</t>
  </si>
  <si>
    <t>ウスターソース・こしょう・コンソメ・水・精製塩</t>
  </si>
  <si>
    <t>ご飯・バター・パン粉・砂糖・小麦粉・油</t>
  </si>
  <si>
    <t>ツナフレーク缶・鶏肉</t>
  </si>
  <si>
    <t>かぶ・かぼちゃ・コーン・ブロッコリー・玉ねぎ・人参・長ねぎ・洋なし缶</t>
  </si>
  <si>
    <t>ごま油・ご飯・マヨネーズ・砂糖・小麦粉・焼ふ・油</t>
  </si>
  <si>
    <t>スケソウタラ・鶏肉・味噌</t>
  </si>
  <si>
    <t>チンゲン菜・バナナ・玉ねぎ・人参・水菜・白菜</t>
  </si>
  <si>
    <t>ケチャップ・ふりかけ・酒・出し汁・醤油・酢・精製塩</t>
  </si>
  <si>
    <t>バームクーヘン</t>
    <phoneticPr fontId="37"/>
  </si>
  <si>
    <t>キヌサヤ・チンゲン菜・みかん缶・玉ねぎ・人参・白菜</t>
  </si>
  <si>
    <t>鶏ささみとチンゲン菜のサラダ</t>
  </si>
  <si>
    <t>鈴カステラ</t>
    <rPh sb="0" eb="1">
      <t>スズ</t>
    </rPh>
    <phoneticPr fontId="37"/>
  </si>
  <si>
    <t>スパゲッティミートソース</t>
    <phoneticPr fontId="37"/>
  </si>
  <si>
    <t>スパゲッティ・バター・砂糖・小麦粉・油・マヨネーズ</t>
    <rPh sb="11" eb="13">
      <t>サトウ</t>
    </rPh>
    <rPh sb="14" eb="17">
      <t>コムギコ</t>
    </rPh>
    <rPh sb="18" eb="19">
      <t>アブラ</t>
    </rPh>
    <phoneticPr fontId="37"/>
  </si>
  <si>
    <t>豚肉・ツナフレーク缶・ヨーグルト</t>
    <rPh sb="0" eb="2">
      <t>ブタニク</t>
    </rPh>
    <rPh sb="9" eb="10">
      <t>カン</t>
    </rPh>
    <phoneticPr fontId="37"/>
  </si>
  <si>
    <t>玉葱・人参・グリーンピース・アスパラ・ブロッコリー</t>
    <rPh sb="0" eb="2">
      <t>タマネギ</t>
    </rPh>
    <rPh sb="3" eb="5">
      <t>ニンジン</t>
    </rPh>
    <phoneticPr fontId="37"/>
  </si>
  <si>
    <t>ウスターソース・ケチャップ・精製塩</t>
    <rPh sb="14" eb="17">
      <t>セイセイエン</t>
    </rPh>
    <phoneticPr fontId="37"/>
  </si>
  <si>
    <t>乳・卵・小麦</t>
    <phoneticPr fontId="37"/>
  </si>
  <si>
    <t>グリーンサラダ　ツナコーンマヨ添え</t>
    <rPh sb="15" eb="16">
      <t>ゾ</t>
    </rPh>
    <phoneticPr fontId="37"/>
  </si>
  <si>
    <t>ビスケット</t>
    <phoneticPr fontId="37"/>
  </si>
  <si>
    <t>ヨーグルト</t>
    <phoneticPr fontId="37"/>
  </si>
  <si>
    <t>シロイトタラ・チーズ・鶏肉・味噌・油揚げ</t>
  </si>
  <si>
    <t>インゲン・みかん缶・小松菜・人参・大根</t>
  </si>
  <si>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</si>
  <si>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</si>
  <si>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</si>
  <si>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</si>
  <si>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</si>
  <si>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</si>
  <si>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</si>
  <si>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</si>
  <si>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</si>
  <si>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3～5</t>
    <phoneticPr fontId="3"/>
  </si>
  <si>
    <t>歳</t>
    <rPh sb="0" eb="1">
      <t>サイ</t>
    </rPh>
    <phoneticPr fontId="3"/>
  </si>
  <si>
    <t>390/16.1/10.8/57.0/1.1未満</t>
    <rPh sb="22" eb="24">
      <t>ミマン</t>
    </rPh>
    <phoneticPr fontId="3"/>
  </si>
  <si>
    <t>1～2</t>
    <phoneticPr fontId="3"/>
  </si>
  <si>
    <t>285/11.8/7.9/41.7/0.8未満</t>
    <rPh sb="21" eb="23">
      <t>ミマン</t>
    </rPh>
    <phoneticPr fontId="3"/>
  </si>
  <si>
    <t>※3色食品群は食品中に含まれる栄養素を見た目で分かりやすくする為の目安です。　３色食品群に分類されない食材は、「3色食品群以外の使用食材」に記載しております。</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51" eb="53">
      <t>ショクザイ</t>
    </rPh>
    <rPh sb="67" eb="68">
      <t>ザイ</t>
    </rPh>
    <rPh sb="70" eb="72">
      <t>キサイ</t>
    </rPh>
    <phoneticPr fontId="3"/>
  </si>
  <si>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3"/>
  </si>
  <si>
    <t>※都合により、献立を変更する場合がございます。</t>
    <rPh sb="1" eb="3">
      <t>ツゴウ</t>
    </rPh>
    <rPh sb="7" eb="9">
      <t>コンダテ</t>
    </rPh>
    <rPh sb="10" eb="12">
      <t>ヘンコウ</t>
    </rPh>
    <rPh sb="14" eb="16">
      <t>バアイ</t>
    </rPh>
    <phoneticPr fontId="3"/>
  </si>
  <si>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</si>
  <si>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</si>
  <si>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※46　本商品製造工場では、小麦、乳、卵、えび、落花生を含む製品を製造しています。</t>
  </si>
  <si>
    <t>※54　本品製造工場では、卵、乳成分を含む製品を製造致しております。</t>
  </si>
  <si>
    <t>※60　本工場では小麦・乳を使用しております。</t>
  </si>
  <si>
    <t>※92　本品工場では小麦、卵、乳、えび、いか、豚肉、ゼラチン、大豆を含む製品を製造しております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</si>
</sst>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 ?/2"/>
    <numFmt numFmtId="177" formatCode="#\ ?/4"/>
    <numFmt numFmtId="178" formatCode="#\ ?/8"/>
    <numFmt numFmtId="179" formatCode="#\ ?/10"/>
    <numFmt numFmtId="180" formatCode="#\ ?/6"/>
    <numFmt numFmtId="181" formatCode="#\ ?/5"/>
    <numFmt numFmtId="182" formatCode="#\ ?/3"/>
    <numFmt numFmtId="183" formatCode="#\ ?/20"/>
    <numFmt numFmtId="184" formatCode="#\ ?/12"/>
    <numFmt numFmtId="185" formatCode="0.0_ "/>
    <numFmt numFmtId="186" formatCode="0_ "/>
  </numFmts>
  <fonts count="40"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sz val="8"/>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scheme val="minor"/>
    </font>
    <font>
      <b/>
      <sz val="12"/>
      <name val="ＭＳ Ｐ明朝"/>
      <family val="1"/>
      <charset val="128"/>
    </font>
    <font>
      <sz val="8"/>
      <name val="ＭＳ Ｐ明朝"/>
      <family val="1"/>
      <charset val="128"/>
    </font>
    <font>
      <sz val="9"/>
      <name val="ＭＳ Ｐ明朝"/>
      <family val="1"/>
      <charset val="128"/>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name val="ＭＳ Ｐゴシック"/>
      <family val="3"/>
      <charset val="128"/>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6"/>
      <name val="ＭＳ Ｐゴシック"/>
      <family val="2"/>
      <charset val="128"/>
      <scheme val="minor"/>
    </font>
    <font>
      <sz val="11"/>
      <color rgb="FFFF0000"/>
      <name val="ＭＳ Ｐ明朝"/>
      <family val="1"/>
      <charset val="128"/>
    </font>
    <font>
      <sz val="10"/>
      <color rgb="FFFF0000"/>
      <name val="ＭＳ Ｐ明朝"/>
      <family val="1"/>
      <charset val="128"/>
    </font>
  </fonts>
  <fills count="15">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D5FFFF"/>
        <bgColor indexed="64"/>
      </patternFill>
    </fill>
    <fill>
      <patternFill patternType="solid">
        <fgColor rgb="FFFFFF00"/>
        <bgColor indexed="64"/>
      </patternFill>
    </fill>
    <fill>
      <patternFill patternType="solid">
        <fgColor rgb="FFFFFFCD"/>
        <bgColor indexed="64"/>
      </patternFill>
    </fill>
    <fill>
      <patternFill patternType="solid">
        <fgColor rgb="FFD9FFD9"/>
        <bgColor indexed="64"/>
      </patternFill>
    </fill>
    <fill>
      <patternFill patternType="solid">
        <fgColor theme="0" tint="-0.14999847407452621"/>
        <bgColor indexed="64"/>
      </patternFill>
    </fill>
    <fill>
      <patternFill patternType="solid">
        <fgColor rgb="FFFFECD9"/>
        <bgColor indexed="64"/>
      </patternFill>
    </fill>
  </fills>
  <borders count="8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bottom style="thin">
        <color indexed="55"/>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28" fillId="0" borderId="0">
      <alignment vertical="center"/>
    </xf>
    <xf numFmtId="0" fontId="1" fillId="0" borderId="0">
      <alignment vertical="center"/>
    </xf>
  </cellStyleXfs>
  <cellXfs count="394">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1" xfId="1" applyFont="1" applyBorder="1" applyAlignment="1">
      <alignment horizontal="center" vertical="center"/>
    </xf>
    <xf numFmtId="0" fontId="5" fillId="0" borderId="0" xfId="1" applyFont="1" applyBorder="1" applyAlignment="1">
      <alignment horizontal="center" vertical="center" shrinkToFi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6" fillId="0" borderId="2" xfId="1" applyFont="1" applyBorder="1" applyAlignment="1">
      <alignment horizontal="center" vertical="center"/>
    </xf>
    <xf numFmtId="0" fontId="6" fillId="0" borderId="2" xfId="1" applyNumberFormat="1" applyFont="1" applyBorder="1" applyAlignment="1">
      <alignment horizontal="center" vertical="center"/>
    </xf>
    <xf numFmtId="0" fontId="6" fillId="0" borderId="1" xfId="1" applyFont="1" applyBorder="1" applyAlignment="1">
      <alignment horizontal="center" vertical="center" shrinkToFit="1"/>
    </xf>
    <xf numFmtId="0" fontId="7" fillId="0" borderId="0" xfId="2" applyNumberFormat="1" applyFont="1" applyFill="1" applyAlignment="1">
      <alignment shrinkToFit="1"/>
    </xf>
    <xf numFmtId="0" fontId="8" fillId="0" borderId="0" xfId="1" applyNumberFormat="1" applyFont="1" applyBorder="1" applyAlignment="1">
      <alignment wrapText="1"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0" xfId="1" applyNumberFormat="1" applyFont="1" applyBorder="1" applyAlignment="1">
      <alignment shrinkToFit="1"/>
    </xf>
    <xf numFmtId="0" fontId="12" fillId="0" borderId="3" xfId="1" applyFont="1" applyBorder="1" applyAlignment="1">
      <alignment horizontal="left" vertical="center"/>
    </xf>
    <xf numFmtId="0" fontId="12" fillId="0" borderId="4" xfId="1" applyFont="1" applyBorder="1" applyAlignment="1">
      <alignment horizontal="center" vertical="center" shrinkToFit="1"/>
    </xf>
    <xf numFmtId="0" fontId="12" fillId="0" borderId="5" xfId="1" applyFont="1" applyBorder="1" applyAlignment="1">
      <alignment horizontal="center" vertical="center" shrinkToFit="1"/>
    </xf>
    <xf numFmtId="0" fontId="13" fillId="0" borderId="6" xfId="1" applyNumberFormat="1" applyFont="1" applyBorder="1" applyAlignment="1">
      <alignment horizontal="center" vertical="center" wrapText="1"/>
    </xf>
    <xf numFmtId="0" fontId="12" fillId="0" borderId="6" xfId="1" applyFont="1" applyBorder="1" applyAlignment="1">
      <alignment horizontal="center" vertical="center" shrinkToFit="1"/>
    </xf>
    <xf numFmtId="0" fontId="12" fillId="0" borderId="6" xfId="1" applyNumberFormat="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xf>
    <xf numFmtId="0" fontId="14" fillId="0" borderId="6" xfId="1" applyNumberFormat="1" applyFont="1" applyBorder="1" applyAlignment="1">
      <alignment horizontal="center" vertical="center" wrapText="1" shrinkToFit="1"/>
    </xf>
    <xf numFmtId="0" fontId="12" fillId="0" borderId="5" xfId="1" applyNumberFormat="1" applyFont="1" applyBorder="1" applyAlignment="1">
      <alignment horizontal="center" vertical="center" shrinkToFit="1"/>
    </xf>
    <xf numFmtId="0" fontId="12" fillId="0" borderId="7"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6" fillId="0" borderId="0" xfId="1" applyFont="1" applyAlignment="1">
      <alignment vertical="top" shrinkToFit="1"/>
    </xf>
    <xf numFmtId="0" fontId="15" fillId="0" borderId="0" xfId="1" applyFont="1" applyAlignment="1">
      <alignment horizontal="left" vertical="center"/>
    </xf>
    <xf numFmtId="0" fontId="5" fillId="0" borderId="0" xfId="1" applyNumberFormat="1" applyFont="1" applyAlignment="1">
      <alignment horizontal="center" vertical="top" shrinkToFit="1"/>
    </xf>
    <xf numFmtId="0" fontId="15" fillId="0" borderId="0" xfId="1" applyFont="1" applyAlignment="1">
      <alignment horizontal="center" vertical="top" shrinkToFit="1"/>
    </xf>
    <xf numFmtId="0" fontId="15" fillId="0" borderId="0" xfId="1" applyFont="1" applyAlignment="1">
      <alignment vertical="top" shrinkToFit="1"/>
    </xf>
    <xf numFmtId="0" fontId="17" fillId="0" borderId="0" xfId="1" applyFont="1" applyAlignment="1">
      <alignment horizontal="center" vertical="top" shrinkToFit="1"/>
    </xf>
    <xf numFmtId="0" fontId="17" fillId="0" borderId="0" xfId="1" applyNumberFormat="1" applyFont="1" applyAlignment="1">
      <alignment horizontal="center" vertical="top" shrinkToFit="1"/>
    </xf>
    <xf numFmtId="0" fontId="12" fillId="0" borderId="6" xfId="1" applyNumberFormat="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2" xfId="1" applyFont="1" applyFill="1" applyBorder="1" applyAlignment="1">
      <alignment horizontal="center" vertical="center"/>
    </xf>
    <xf numFmtId="0" fontId="6" fillId="0" borderId="2" xfId="1" applyNumberFormat="1" applyFont="1" applyFill="1" applyBorder="1" applyAlignment="1">
      <alignment horizontal="center" vertical="center"/>
    </xf>
    <xf numFmtId="0" fontId="16"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5" fillId="0" borderId="9" xfId="1" applyFont="1" applyBorder="1" applyAlignment="1">
      <alignment horizontal="center" vertical="top" shrinkToFit="1"/>
    </xf>
    <xf numFmtId="0" fontId="15" fillId="0" borderId="9" xfId="1" applyFont="1" applyBorder="1" applyAlignment="1">
      <alignment vertical="top" shrinkToFit="1"/>
    </xf>
    <xf numFmtId="0" fontId="17" fillId="0" borderId="9" xfId="1" applyNumberFormat="1" applyFont="1" applyBorder="1" applyAlignment="1">
      <alignment horizontal="center" vertical="top" shrinkToFit="1"/>
    </xf>
    <xf numFmtId="0" fontId="16"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5" fillId="0" borderId="10" xfId="1" applyFont="1" applyBorder="1" applyAlignment="1">
      <alignment horizontal="center" vertical="top" shrinkToFit="1"/>
    </xf>
    <xf numFmtId="0" fontId="15" fillId="0" borderId="10" xfId="1" applyFont="1" applyBorder="1" applyAlignment="1">
      <alignment vertical="top" shrinkToFit="1"/>
    </xf>
    <xf numFmtId="0" fontId="17" fillId="0" borderId="10" xfId="1" applyNumberFormat="1" applyFont="1" applyBorder="1" applyAlignment="1">
      <alignment horizontal="center" vertical="top" shrinkToFit="1"/>
    </xf>
    <xf numFmtId="0" fontId="16" fillId="0" borderId="11" xfId="1" applyFont="1" applyBorder="1" applyAlignment="1">
      <alignment vertical="top" shrinkToFit="1"/>
    </xf>
    <xf numFmtId="0" fontId="7" fillId="0" borderId="11" xfId="1" applyFont="1" applyBorder="1" applyAlignment="1">
      <alignment vertical="center" shrinkToFit="1"/>
    </xf>
    <xf numFmtId="0" fontId="15" fillId="0" borderId="11" xfId="1" applyFont="1" applyBorder="1" applyAlignment="1">
      <alignment horizontal="center" vertical="top" shrinkToFit="1"/>
    </xf>
    <xf numFmtId="0" fontId="15" fillId="0" borderId="11" xfId="1" applyFont="1" applyBorder="1" applyAlignment="1">
      <alignment vertical="top" shrinkToFit="1"/>
    </xf>
    <xf numFmtId="0" fontId="17" fillId="0" borderId="11" xfId="1" applyNumberFormat="1" applyFont="1" applyBorder="1" applyAlignment="1">
      <alignment horizontal="center" vertical="top" shrinkToFit="1"/>
    </xf>
    <xf numFmtId="0" fontId="5" fillId="0" borderId="11" xfId="1" applyNumberFormat="1" applyFont="1" applyBorder="1" applyAlignment="1">
      <alignment horizontal="center" vertical="top" shrinkToFit="1"/>
    </xf>
    <xf numFmtId="179" fontId="5" fillId="0" borderId="11" xfId="1" applyNumberFormat="1" applyFont="1" applyBorder="1" applyAlignment="1">
      <alignment horizontal="center" vertical="top" shrinkToFit="1"/>
    </xf>
    <xf numFmtId="0" fontId="16" fillId="0" borderId="12" xfId="1" applyFont="1" applyBorder="1" applyAlignment="1">
      <alignment vertical="top" shrinkToFit="1"/>
    </xf>
    <xf numFmtId="0" fontId="7" fillId="0" borderId="12" xfId="1" applyFont="1" applyBorder="1" applyAlignment="1">
      <alignment vertical="center" shrinkToFit="1"/>
    </xf>
    <xf numFmtId="0" fontId="5" fillId="0" borderId="12" xfId="1" applyNumberFormat="1" applyFont="1" applyBorder="1" applyAlignment="1">
      <alignment horizontal="center" vertical="top" shrinkToFit="1"/>
    </xf>
    <xf numFmtId="0" fontId="15" fillId="0" borderId="12" xfId="1" applyFont="1" applyBorder="1" applyAlignment="1">
      <alignment horizontal="center" vertical="top" shrinkToFit="1"/>
    </xf>
    <xf numFmtId="0" fontId="15" fillId="0" borderId="12" xfId="1" applyFont="1" applyBorder="1" applyAlignment="1">
      <alignment vertical="top" shrinkToFit="1"/>
    </xf>
    <xf numFmtId="0" fontId="17" fillId="0" borderId="12" xfId="1" applyNumberFormat="1" applyFont="1" applyBorder="1" applyAlignment="1">
      <alignment horizontal="center" vertical="top" shrinkToFit="1"/>
    </xf>
    <xf numFmtId="177" fontId="5" fillId="0" borderId="11" xfId="1" applyNumberFormat="1" applyFont="1" applyBorder="1" applyAlignment="1">
      <alignment horizontal="center" vertical="top" shrinkToFit="1"/>
    </xf>
    <xf numFmtId="0" fontId="7" fillId="0" borderId="13" xfId="1" applyFont="1" applyBorder="1" applyAlignment="1">
      <alignment vertical="center" shrinkToFit="1"/>
    </xf>
    <xf numFmtId="0" fontId="7" fillId="0" borderId="14" xfId="1" applyFont="1" applyBorder="1" applyAlignment="1">
      <alignment vertical="center" shrinkToFit="1"/>
    </xf>
    <xf numFmtId="0" fontId="7" fillId="0" borderId="15" xfId="1" applyFont="1" applyBorder="1" applyAlignment="1">
      <alignment vertical="center" shrinkToFit="1"/>
    </xf>
    <xf numFmtId="0" fontId="7" fillId="0" borderId="16" xfId="1" applyFont="1" applyBorder="1" applyAlignment="1">
      <alignment vertical="center" shrinkToFit="1"/>
    </xf>
    <xf numFmtId="0" fontId="16" fillId="0" borderId="17" xfId="1" applyFont="1" applyBorder="1" applyAlignment="1">
      <alignment vertical="top" shrinkToFit="1"/>
    </xf>
    <xf numFmtId="0" fontId="16" fillId="0" borderId="18" xfId="1" applyFont="1" applyBorder="1" applyAlignment="1">
      <alignment vertical="top" shrinkToFit="1"/>
    </xf>
    <xf numFmtId="0" fontId="16" fillId="0" borderId="1" xfId="1" applyFont="1" applyBorder="1" applyAlignment="1">
      <alignment vertical="top" shrinkToFit="1"/>
    </xf>
    <xf numFmtId="0" fontId="16" fillId="0" borderId="19" xfId="1" applyFont="1" applyBorder="1" applyAlignment="1">
      <alignment vertical="top" shrinkToFit="1"/>
    </xf>
    <xf numFmtId="0" fontId="15" fillId="0" borderId="20" xfId="1" applyFont="1" applyBorder="1" applyAlignment="1">
      <alignment horizontal="center" vertical="top" shrinkToFit="1"/>
    </xf>
    <xf numFmtId="0" fontId="15" fillId="0" borderId="21" xfId="1" applyFont="1" applyBorder="1" applyAlignment="1">
      <alignment horizontal="center" vertical="top" shrinkToFit="1"/>
    </xf>
    <xf numFmtId="0" fontId="15" fillId="0" borderId="22" xfId="1" applyFont="1" applyBorder="1" applyAlignment="1">
      <alignment horizontal="center" vertical="top" shrinkToFit="1"/>
    </xf>
    <xf numFmtId="0" fontId="15" fillId="0" borderId="23" xfId="1" applyFont="1" applyBorder="1" applyAlignment="1">
      <alignment horizontal="center" vertical="top" shrinkToFit="1"/>
    </xf>
    <xf numFmtId="0" fontId="15" fillId="0" borderId="24" xfId="1" applyFont="1" applyBorder="1" applyAlignment="1">
      <alignment vertical="top" shrinkToFit="1"/>
    </xf>
    <xf numFmtId="0" fontId="15" fillId="0" borderId="25" xfId="1" applyFont="1" applyBorder="1" applyAlignment="1">
      <alignment vertical="top" shrinkToFit="1"/>
    </xf>
    <xf numFmtId="0" fontId="15" fillId="0" borderId="26" xfId="1" applyFont="1" applyBorder="1" applyAlignment="1">
      <alignment vertical="top" shrinkToFit="1"/>
    </xf>
    <xf numFmtId="0" fontId="15" fillId="0" borderId="27" xfId="1" applyFont="1" applyBorder="1" applyAlignment="1">
      <alignment vertical="top" shrinkToFit="1"/>
    </xf>
    <xf numFmtId="0" fontId="17" fillId="0" borderId="13" xfId="1" applyFont="1" applyBorder="1" applyAlignment="1">
      <alignment horizontal="center" vertical="top" shrinkToFit="1"/>
    </xf>
    <xf numFmtId="0" fontId="17" fillId="0" borderId="14" xfId="1" applyFont="1" applyBorder="1" applyAlignment="1">
      <alignment horizontal="center" vertical="top" shrinkToFit="1"/>
    </xf>
    <xf numFmtId="0" fontId="17" fillId="0" borderId="15" xfId="1" applyFont="1" applyBorder="1" applyAlignment="1">
      <alignment horizontal="center" vertical="top" shrinkToFit="1"/>
    </xf>
    <xf numFmtId="0" fontId="17" fillId="0" borderId="16" xfId="1" applyFont="1" applyBorder="1" applyAlignment="1">
      <alignment horizontal="center" vertical="top" shrinkToFit="1"/>
    </xf>
    <xf numFmtId="180" fontId="5" fillId="0" borderId="11" xfId="1" applyNumberFormat="1" applyFont="1" applyBorder="1" applyAlignment="1">
      <alignment horizontal="center" vertical="top" shrinkToFit="1"/>
    </xf>
    <xf numFmtId="178" fontId="5" fillId="0" borderId="11" xfId="1" applyNumberFormat="1" applyFont="1" applyBorder="1" applyAlignment="1">
      <alignment horizontal="center" vertical="top" shrinkToFit="1"/>
    </xf>
    <xf numFmtId="176" fontId="5" fillId="0" borderId="11" xfId="1" applyNumberFormat="1" applyFont="1" applyBorder="1" applyAlignment="1">
      <alignment horizontal="center" vertical="top" shrinkToFit="1"/>
    </xf>
    <xf numFmtId="176" fontId="5" fillId="0" borderId="9" xfId="1" applyNumberFormat="1" applyFont="1" applyBorder="1" applyAlignment="1">
      <alignment horizontal="center" vertical="top" shrinkToFit="1"/>
    </xf>
    <xf numFmtId="181" fontId="5" fillId="0" borderId="11" xfId="1" applyNumberFormat="1" applyFont="1" applyBorder="1" applyAlignment="1">
      <alignment horizontal="center" vertical="top" shrinkToFit="1"/>
    </xf>
    <xf numFmtId="0" fontId="16" fillId="0" borderId="1" xfId="1" applyFont="1" applyBorder="1" applyAlignment="1">
      <alignment vertical="top" wrapText="1" shrinkToFit="1"/>
    </xf>
    <xf numFmtId="0" fontId="16" fillId="0" borderId="0" xfId="1" applyFont="1" applyAlignment="1">
      <alignment vertical="top"/>
    </xf>
    <xf numFmtId="0" fontId="16" fillId="0" borderId="17" xfId="1" applyFont="1" applyBorder="1" applyAlignment="1">
      <alignment vertical="top" wrapText="1" shrinkToFit="1"/>
    </xf>
    <xf numFmtId="0" fontId="21" fillId="0" borderId="0" xfId="1" applyFont="1" applyAlignment="1">
      <alignment horizontal="center" vertical="center" textRotation="255"/>
    </xf>
    <xf numFmtId="0" fontId="21" fillId="0" borderId="0" xfId="1" applyFont="1">
      <alignment vertical="center"/>
    </xf>
    <xf numFmtId="0" fontId="21" fillId="0" borderId="0" xfId="1" applyFont="1" applyAlignment="1">
      <alignment horizontal="center" vertical="center"/>
    </xf>
    <xf numFmtId="0" fontId="1" fillId="0" borderId="2" xfId="1" applyBorder="1" applyAlignment="1">
      <alignment horizontal="center" vertical="center"/>
    </xf>
    <xf numFmtId="0" fontId="1" fillId="3" borderId="2" xfId="1" applyFill="1" applyBorder="1" applyAlignment="1">
      <alignment horizontal="center" vertical="center"/>
    </xf>
    <xf numFmtId="0" fontId="21" fillId="0" borderId="38" xfId="1" applyFont="1" applyBorder="1" applyAlignment="1">
      <alignment horizontal="left" vertical="center" shrinkToFit="1"/>
    </xf>
    <xf numFmtId="0" fontId="21" fillId="0" borderId="11" xfId="1" applyFont="1" applyBorder="1" applyAlignment="1">
      <alignment horizontal="left" vertical="center" shrinkToFit="1"/>
    </xf>
    <xf numFmtId="0" fontId="21" fillId="0" borderId="10" xfId="1" applyFont="1" applyBorder="1" applyAlignment="1">
      <alignment horizontal="left" vertical="center" shrinkToFit="1"/>
    </xf>
    <xf numFmtId="0" fontId="0" fillId="0" borderId="0" xfId="0" applyAlignment="1">
      <alignment horizontal="center" vertical="center"/>
    </xf>
    <xf numFmtId="0" fontId="0" fillId="0" borderId="0" xfId="0" applyAlignment="1">
      <alignment horizontal="center" vertical="center"/>
    </xf>
    <xf numFmtId="0" fontId="1" fillId="0" borderId="0" xfId="1">
      <alignment vertical="center"/>
    </xf>
    <xf numFmtId="0" fontId="16" fillId="0" borderId="0" xfId="1" applyFont="1" applyAlignment="1">
      <alignment horizontal="right" vertical="center"/>
    </xf>
    <xf numFmtId="0" fontId="16" fillId="0" borderId="0" xfId="1" applyFont="1" applyAlignment="1">
      <alignment vertical="center" shrinkToFit="1"/>
    </xf>
    <xf numFmtId="0" fontId="0" fillId="0" borderId="16" xfId="0" applyBorder="1">
      <alignment vertical="center"/>
    </xf>
    <xf numFmtId="0" fontId="16" fillId="0" borderId="12" xfId="1" applyFont="1" applyBorder="1" applyAlignment="1">
      <alignment horizontal="right" vertical="center"/>
    </xf>
    <xf numFmtId="0" fontId="16" fillId="0" borderId="12" xfId="1" applyFont="1" applyBorder="1" applyAlignment="1">
      <alignment vertical="center" shrinkToFit="1"/>
    </xf>
    <xf numFmtId="0" fontId="0" fillId="0" borderId="15" xfId="0" applyBorder="1">
      <alignment vertical="center"/>
    </xf>
    <xf numFmtId="0" fontId="16" fillId="0" borderId="11" xfId="1" applyFont="1" applyBorder="1" applyAlignment="1">
      <alignment horizontal="right" vertical="center"/>
    </xf>
    <xf numFmtId="0" fontId="16" fillId="0" borderId="11" xfId="1" applyFont="1" applyBorder="1" applyAlignment="1">
      <alignment vertical="center" shrinkToFit="1"/>
    </xf>
    <xf numFmtId="178" fontId="16" fillId="0" borderId="11" xfId="1" applyNumberFormat="1" applyFont="1" applyBorder="1" applyAlignment="1">
      <alignment horizontal="right" vertical="center"/>
    </xf>
    <xf numFmtId="0" fontId="16" fillId="0" borderId="10" xfId="1" applyFont="1" applyBorder="1" applyAlignment="1">
      <alignment horizontal="right" vertical="center"/>
    </xf>
    <xf numFmtId="0" fontId="16" fillId="0" borderId="10" xfId="1" applyFont="1" applyBorder="1" applyAlignment="1">
      <alignment vertical="center" shrinkToFit="1"/>
    </xf>
    <xf numFmtId="0" fontId="7" fillId="0" borderId="10" xfId="1" applyFont="1" applyBorder="1" applyAlignment="1">
      <alignment horizontal="right" vertical="center"/>
    </xf>
    <xf numFmtId="179" fontId="16" fillId="0" borderId="11" xfId="1" applyNumberFormat="1" applyFont="1" applyBorder="1" applyAlignment="1">
      <alignment horizontal="right" vertical="center"/>
    </xf>
    <xf numFmtId="0" fontId="0" fillId="0" borderId="14" xfId="0" applyBorder="1">
      <alignment vertical="center"/>
    </xf>
    <xf numFmtId="0" fontId="16" fillId="5" borderId="11" xfId="1" applyFont="1" applyFill="1" applyBorder="1" applyAlignment="1">
      <alignment vertical="center" shrinkToFit="1"/>
    </xf>
    <xf numFmtId="180" fontId="16" fillId="0" borderId="11" xfId="1" applyNumberFormat="1" applyFont="1" applyBorder="1" applyAlignment="1">
      <alignment horizontal="right" vertical="center"/>
    </xf>
    <xf numFmtId="182" fontId="16" fillId="0" borderId="11" xfId="1" applyNumberFormat="1" applyFont="1" applyBorder="1" applyAlignment="1">
      <alignment horizontal="right" vertical="center"/>
    </xf>
    <xf numFmtId="0" fontId="0" fillId="0" borderId="13" xfId="0" applyBorder="1">
      <alignment vertical="center"/>
    </xf>
    <xf numFmtId="0" fontId="16" fillId="0" borderId="9" xfId="1" applyFont="1" applyBorder="1" applyAlignment="1">
      <alignment horizontal="right" vertical="center"/>
    </xf>
    <xf numFmtId="0" fontId="16" fillId="0" borderId="9" xfId="1" applyFont="1" applyBorder="1" applyAlignment="1">
      <alignment vertical="center" shrinkToFit="1"/>
    </xf>
    <xf numFmtId="0" fontId="6" fillId="0" borderId="52" xfId="1" applyFont="1" applyBorder="1" applyAlignment="1">
      <alignment horizontal="center" vertical="center"/>
    </xf>
    <xf numFmtId="0" fontId="6" fillId="0" borderId="53" xfId="1" applyFont="1" applyBorder="1" applyAlignment="1">
      <alignment horizontal="center" vertical="center"/>
    </xf>
    <xf numFmtId="0" fontId="6" fillId="0" borderId="54" xfId="1" applyFont="1" applyBorder="1" applyAlignment="1">
      <alignment horizontal="center" vertical="center"/>
    </xf>
    <xf numFmtId="0" fontId="6" fillId="0" borderId="12" xfId="1" applyFont="1" applyBorder="1" applyAlignment="1">
      <alignment horizontal="center" vertical="center"/>
    </xf>
    <xf numFmtId="0" fontId="6" fillId="0" borderId="55" xfId="1" applyFont="1" applyBorder="1" applyAlignment="1">
      <alignment horizontal="center" vertical="center"/>
    </xf>
    <xf numFmtId="0" fontId="6" fillId="0" borderId="23" xfId="1" applyFont="1" applyBorder="1" applyAlignment="1">
      <alignment horizontal="center" vertical="center"/>
    </xf>
    <xf numFmtId="0" fontId="6" fillId="0" borderId="57" xfId="1" applyFont="1" applyBorder="1">
      <alignment vertical="center"/>
    </xf>
    <xf numFmtId="0" fontId="6" fillId="0" borderId="31" xfId="1" applyFont="1" applyBorder="1" applyAlignment="1">
      <alignment horizontal="center" vertical="center"/>
    </xf>
    <xf numFmtId="0" fontId="6" fillId="0" borderId="69" xfId="1" applyFont="1" applyBorder="1" applyAlignment="1">
      <alignment horizontal="center" vertical="center"/>
    </xf>
    <xf numFmtId="0" fontId="6" fillId="0" borderId="70" xfId="1" applyFont="1" applyBorder="1" applyAlignment="1">
      <alignment horizontal="center" vertical="center"/>
    </xf>
    <xf numFmtId="0" fontId="10" fillId="0" borderId="0" xfId="1" applyFont="1" applyAlignment="1">
      <alignment horizontal="left" shrinkToFit="1"/>
    </xf>
    <xf numFmtId="0" fontId="28" fillId="0" borderId="0" xfId="3">
      <alignment vertical="center"/>
    </xf>
    <xf numFmtId="0" fontId="0" fillId="0" borderId="71" xfId="0" applyBorder="1" applyAlignment="1">
      <alignment horizontal="left" shrinkToFit="1"/>
    </xf>
    <xf numFmtId="0" fontId="0" fillId="0" borderId="71" xfId="0" applyBorder="1" applyAlignment="1">
      <alignment horizontal="left" shrinkToFit="1"/>
    </xf>
    <xf numFmtId="0" fontId="16" fillId="0" borderId="0" xfId="1" applyFont="1">
      <alignment vertical="center"/>
    </xf>
    <xf numFmtId="0" fontId="4" fillId="0" borderId="0" xfId="1" applyFont="1" applyAlignment="1">
      <alignment vertical="center" textRotation="255"/>
    </xf>
    <xf numFmtId="0" fontId="0" fillId="0" borderId="0" xfId="0" applyAlignment="1">
      <alignment vertical="center" shrinkToFit="1"/>
    </xf>
    <xf numFmtId="0" fontId="4" fillId="0" borderId="0" xfId="1" applyFont="1" applyAlignment="1">
      <alignment horizontal="center" vertical="center"/>
    </xf>
    <xf numFmtId="0" fontId="2" fillId="0" borderId="0" xfId="1" applyFont="1">
      <alignment vertical="center"/>
    </xf>
    <xf numFmtId="0" fontId="0" fillId="0" borderId="0" xfId="0">
      <alignment vertical="center"/>
    </xf>
    <xf numFmtId="0" fontId="2" fillId="0" borderId="0" xfId="1" applyFont="1">
      <alignment vertical="center"/>
    </xf>
    <xf numFmtId="0" fontId="7" fillId="0" borderId="12" xfId="1" applyFont="1" applyBorder="1" applyAlignment="1">
      <alignment horizontal="right" vertical="center"/>
    </xf>
    <xf numFmtId="181" fontId="16" fillId="0" borderId="11" xfId="1" applyNumberFormat="1" applyFont="1" applyBorder="1" applyAlignment="1">
      <alignment horizontal="right" vertical="center"/>
    </xf>
    <xf numFmtId="183" fontId="16" fillId="0" borderId="11" xfId="1" applyNumberFormat="1" applyFont="1" applyBorder="1" applyAlignment="1">
      <alignment horizontal="right" vertical="center"/>
    </xf>
    <xf numFmtId="0" fontId="7" fillId="0" borderId="11" xfId="1" applyFont="1" applyBorder="1" applyAlignment="1">
      <alignment horizontal="right" vertical="center"/>
    </xf>
    <xf numFmtId="184" fontId="16" fillId="0" borderId="11" xfId="1" applyNumberFormat="1" applyFont="1" applyBorder="1" applyAlignment="1">
      <alignment horizontal="right" vertical="center"/>
    </xf>
    <xf numFmtId="0" fontId="21" fillId="0" borderId="35" xfId="1" applyFont="1" applyBorder="1" applyAlignment="1">
      <alignment horizontal="center" vertical="center"/>
    </xf>
    <xf numFmtId="0" fontId="21" fillId="0" borderId="2" xfId="1" applyFont="1" applyBorder="1" applyAlignment="1">
      <alignment horizontal="center" vertical="center" textRotation="255"/>
    </xf>
    <xf numFmtId="0" fontId="21" fillId="0" borderId="34" xfId="1" applyFont="1" applyBorder="1" applyAlignment="1">
      <alignment horizontal="center" vertical="center" shrinkToFit="1"/>
    </xf>
    <xf numFmtId="0" fontId="21" fillId="0" borderId="35" xfId="1" applyFont="1" applyBorder="1" applyAlignment="1">
      <alignment horizontal="center" vertical="center" shrinkToFit="1"/>
    </xf>
    <xf numFmtId="0" fontId="21" fillId="0" borderId="22" xfId="1" applyFont="1" applyBorder="1" applyAlignment="1">
      <alignment horizontal="center" vertical="center" shrinkToFit="1"/>
    </xf>
    <xf numFmtId="0" fontId="21" fillId="0" borderId="0" xfId="1" applyFont="1" applyAlignment="1">
      <alignment horizontal="center" vertical="center" shrinkToFit="1"/>
    </xf>
    <xf numFmtId="0" fontId="21" fillId="0" borderId="21" xfId="1" applyFont="1" applyBorder="1" applyAlignment="1">
      <alignment horizontal="center" vertical="center" shrinkToFit="1"/>
    </xf>
    <xf numFmtId="0" fontId="21" fillId="0" borderId="37" xfId="1" applyFont="1" applyBorder="1" applyAlignment="1">
      <alignment horizontal="center" vertical="center" shrinkToFit="1"/>
    </xf>
    <xf numFmtId="0" fontId="21" fillId="3" borderId="34" xfId="1" applyFont="1" applyFill="1" applyBorder="1" applyAlignment="1">
      <alignment horizontal="center" vertical="center" shrinkToFit="1"/>
    </xf>
    <xf numFmtId="0" fontId="21" fillId="3" borderId="36" xfId="1" applyFont="1" applyFill="1" applyBorder="1" applyAlignment="1">
      <alignment horizontal="center" vertical="center" shrinkToFit="1"/>
    </xf>
    <xf numFmtId="0" fontId="21" fillId="3" borderId="22" xfId="1" applyFont="1" applyFill="1" applyBorder="1" applyAlignment="1">
      <alignment horizontal="center" vertical="center" shrinkToFit="1"/>
    </xf>
    <xf numFmtId="0" fontId="21" fillId="3" borderId="1" xfId="1" applyFont="1" applyFill="1" applyBorder="1" applyAlignment="1">
      <alignment horizontal="center" vertical="center" shrinkToFit="1"/>
    </xf>
    <xf numFmtId="0" fontId="21" fillId="3" borderId="21" xfId="1" applyFont="1" applyFill="1" applyBorder="1" applyAlignment="1">
      <alignment horizontal="center" vertical="center" shrinkToFit="1"/>
    </xf>
    <xf numFmtId="0" fontId="21" fillId="3" borderId="18" xfId="1" applyFont="1" applyFill="1" applyBorder="1" applyAlignment="1">
      <alignment horizontal="center" vertical="center" shrinkToFit="1"/>
    </xf>
    <xf numFmtId="0" fontId="21" fillId="0" borderId="38" xfId="1" applyFont="1" applyBorder="1" applyAlignment="1">
      <alignment horizontal="center" vertical="center"/>
    </xf>
    <xf numFmtId="0" fontId="21" fillId="0" borderId="11" xfId="1" applyFont="1" applyBorder="1">
      <alignment vertical="center"/>
    </xf>
    <xf numFmtId="0" fontId="21" fillId="0" borderId="10" xfId="1" applyFont="1" applyBorder="1">
      <alignment vertical="center"/>
    </xf>
    <xf numFmtId="0" fontId="21" fillId="0" borderId="39" xfId="1" applyFont="1" applyBorder="1" applyAlignment="1">
      <alignment horizontal="center" vertical="center"/>
    </xf>
    <xf numFmtId="0" fontId="21" fillId="0" borderId="41" xfId="1" applyFont="1" applyBorder="1" applyAlignment="1">
      <alignment horizontal="center" vertical="center"/>
    </xf>
    <xf numFmtId="0" fontId="21" fillId="0" borderId="43" xfId="1" applyFont="1" applyBorder="1" applyAlignment="1">
      <alignment horizontal="center" vertical="center"/>
    </xf>
    <xf numFmtId="0" fontId="24" fillId="0" borderId="38" xfId="1" applyFont="1" applyBorder="1" applyAlignment="1">
      <alignment horizontal="left" vertical="top" wrapText="1"/>
    </xf>
    <xf numFmtId="0" fontId="26" fillId="0" borderId="11" xfId="0" applyFont="1" applyBorder="1" applyAlignment="1">
      <alignment horizontal="left" vertical="top" wrapText="1"/>
    </xf>
    <xf numFmtId="0" fontId="26" fillId="0" borderId="10" xfId="0" applyFont="1" applyBorder="1" applyAlignment="1">
      <alignment horizontal="left" vertical="top" wrapText="1"/>
    </xf>
    <xf numFmtId="0" fontId="25" fillId="0" borderId="38" xfId="1" applyFont="1" applyBorder="1" applyAlignment="1">
      <alignment horizontal="left" vertical="top" wrapText="1"/>
    </xf>
    <xf numFmtId="0" fontId="27" fillId="0" borderId="11" xfId="0" applyFont="1" applyBorder="1" applyAlignment="1">
      <alignment horizontal="left" vertical="top" wrapText="1"/>
    </xf>
    <xf numFmtId="0" fontId="27" fillId="0" borderId="10" xfId="0" applyFont="1" applyBorder="1" applyAlignment="1">
      <alignment horizontal="left" vertical="top" wrapText="1"/>
    </xf>
    <xf numFmtId="0" fontId="21" fillId="0" borderId="40" xfId="1" applyFont="1" applyBorder="1" applyAlignment="1">
      <alignment horizontal="center" vertical="center"/>
    </xf>
    <xf numFmtId="0" fontId="21" fillId="0" borderId="42" xfId="1" applyFont="1" applyBorder="1">
      <alignment vertical="center"/>
    </xf>
    <xf numFmtId="0" fontId="21" fillId="0" borderId="44" xfId="1" applyFont="1" applyBorder="1">
      <alignment vertical="center"/>
    </xf>
    <xf numFmtId="0" fontId="23" fillId="2" borderId="2" xfId="1" applyFont="1" applyFill="1" applyBorder="1" applyAlignment="1">
      <alignment horizontal="center" vertical="center" textRotation="255" shrinkToFit="1"/>
    </xf>
    <xf numFmtId="0" fontId="21" fillId="0" borderId="34" xfId="1" applyFont="1" applyBorder="1" applyAlignment="1">
      <alignment horizontal="center" vertical="center"/>
    </xf>
    <xf numFmtId="0" fontId="21" fillId="0" borderId="35" xfId="1" applyFont="1" applyBorder="1" applyAlignment="1">
      <alignment horizontal="center" vertical="center"/>
    </xf>
    <xf numFmtId="0" fontId="1" fillId="0" borderId="22" xfId="1" applyBorder="1" applyAlignment="1">
      <alignment horizontal="center" vertical="center"/>
    </xf>
    <xf numFmtId="0" fontId="1" fillId="0" borderId="0" xfId="1" applyAlignment="1">
      <alignment horizontal="center" vertical="center"/>
    </xf>
    <xf numFmtId="0" fontId="1" fillId="0" borderId="21" xfId="1" applyBorder="1" applyAlignment="1">
      <alignment horizontal="center" vertical="center"/>
    </xf>
    <xf numFmtId="0" fontId="1" fillId="0" borderId="37" xfId="1" applyBorder="1" applyAlignment="1">
      <alignment horizontal="center" vertical="center"/>
    </xf>
    <xf numFmtId="0" fontId="1" fillId="0" borderId="22" xfId="1" applyBorder="1" applyAlignment="1">
      <alignment horizontal="center" vertical="center" shrinkToFit="1"/>
    </xf>
    <xf numFmtId="0" fontId="1" fillId="0" borderId="0" xfId="1" applyAlignment="1">
      <alignment horizontal="center" vertical="center" shrinkToFit="1"/>
    </xf>
    <xf numFmtId="0" fontId="1" fillId="0" borderId="21" xfId="1" applyBorder="1" applyAlignment="1">
      <alignment horizontal="center" vertical="center" shrinkToFit="1"/>
    </xf>
    <xf numFmtId="0" fontId="1" fillId="0" borderId="37" xfId="1" applyBorder="1" applyAlignment="1">
      <alignment horizontal="center" vertical="center" shrinkToFit="1"/>
    </xf>
    <xf numFmtId="0" fontId="21" fillId="0" borderId="36" xfId="1" applyFont="1" applyBorder="1" applyAlignment="1">
      <alignment horizontal="center" vertical="center" shrinkToFit="1"/>
    </xf>
    <xf numFmtId="0" fontId="1" fillId="0" borderId="1" xfId="1" applyBorder="1" applyAlignment="1">
      <alignment horizontal="center" vertical="center" shrinkToFit="1"/>
    </xf>
    <xf numFmtId="0" fontId="1" fillId="0" borderId="18" xfId="1" applyBorder="1" applyAlignment="1">
      <alignment horizontal="center" vertical="center" shrinkToFit="1"/>
    </xf>
    <xf numFmtId="0" fontId="24" fillId="0" borderId="38" xfId="1" applyFont="1" applyBorder="1" applyAlignment="1">
      <alignment horizontal="left" vertical="top" wrapText="1" shrinkToFit="1"/>
    </xf>
    <xf numFmtId="0" fontId="26" fillId="0" borderId="11" xfId="0" applyFont="1" applyBorder="1" applyAlignment="1">
      <alignment horizontal="left" vertical="top" wrapText="1" shrinkToFit="1"/>
    </xf>
    <xf numFmtId="0" fontId="26" fillId="0" borderId="10" xfId="0" applyFont="1" applyBorder="1" applyAlignment="1">
      <alignment horizontal="left" vertical="top" wrapText="1" shrinkToFit="1"/>
    </xf>
    <xf numFmtId="0" fontId="21" fillId="0" borderId="11" xfId="1" applyFont="1" applyBorder="1" applyAlignment="1">
      <alignment horizontal="center" vertical="center"/>
    </xf>
    <xf numFmtId="0" fontId="21" fillId="0" borderId="45" xfId="1" applyFont="1" applyBorder="1" applyAlignment="1">
      <alignment horizontal="center" vertical="center"/>
    </xf>
    <xf numFmtId="0" fontId="21" fillId="0" borderId="47" xfId="1" applyFont="1" applyBorder="1" applyAlignment="1">
      <alignment horizontal="center" vertical="center"/>
    </xf>
    <xf numFmtId="0" fontId="21" fillId="0" borderId="46" xfId="1" applyFont="1" applyBorder="1" applyAlignment="1">
      <alignment horizontal="center" vertical="center"/>
    </xf>
    <xf numFmtId="0" fontId="21" fillId="0" borderId="48" xfId="1" applyFont="1" applyBorder="1">
      <alignment vertical="center"/>
    </xf>
    <xf numFmtId="0" fontId="21" fillId="0" borderId="10" xfId="1" applyFont="1" applyBorder="1" applyAlignment="1">
      <alignment horizontal="center" vertical="center"/>
    </xf>
    <xf numFmtId="0" fontId="21" fillId="0" borderId="49" xfId="1" applyFont="1" applyBorder="1" applyAlignment="1">
      <alignment horizontal="center" vertical="center" shrinkToFit="1"/>
    </xf>
    <xf numFmtId="0" fontId="21" fillId="0" borderId="50" xfId="1" applyFont="1" applyBorder="1" applyAlignment="1">
      <alignment horizontal="center" vertical="center" shrinkToFit="1"/>
    </xf>
    <xf numFmtId="0" fontId="21" fillId="0" borderId="51" xfId="1" applyFont="1" applyBorder="1" applyAlignment="1">
      <alignment horizontal="center" vertical="center" shrinkToFit="1"/>
    </xf>
    <xf numFmtId="0" fontId="21" fillId="4" borderId="34" xfId="1" applyFont="1" applyFill="1" applyBorder="1" applyAlignment="1">
      <alignment horizontal="center" vertical="center" shrinkToFit="1"/>
    </xf>
    <xf numFmtId="0" fontId="21" fillId="4" borderId="35" xfId="1" applyFont="1" applyFill="1" applyBorder="1" applyAlignment="1">
      <alignment horizontal="center" vertical="center" shrinkToFit="1"/>
    </xf>
    <xf numFmtId="0" fontId="21" fillId="4" borderId="36" xfId="1" applyFont="1" applyFill="1" applyBorder="1" applyAlignment="1">
      <alignment horizontal="center" vertical="center" shrinkToFit="1"/>
    </xf>
    <xf numFmtId="0" fontId="21" fillId="4" borderId="21" xfId="1" applyFont="1" applyFill="1" applyBorder="1" applyAlignment="1">
      <alignment horizontal="center" vertical="center" shrinkToFit="1"/>
    </xf>
    <xf numFmtId="0" fontId="21" fillId="4" borderId="37" xfId="1" applyFont="1" applyFill="1" applyBorder="1" applyAlignment="1">
      <alignment horizontal="center" vertical="center" shrinkToFit="1"/>
    </xf>
    <xf numFmtId="0" fontId="21" fillId="4" borderId="18" xfId="1" applyFont="1" applyFill="1" applyBorder="1" applyAlignment="1">
      <alignment horizontal="center" vertical="center" shrinkToFit="1"/>
    </xf>
    <xf numFmtId="0" fontId="21" fillId="0" borderId="38"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42" xfId="1" applyFont="1" applyBorder="1" applyAlignment="1">
      <alignment horizontal="center" vertical="center"/>
    </xf>
    <xf numFmtId="0" fontId="21" fillId="0" borderId="44" xfId="1" applyFont="1" applyBorder="1" applyAlignment="1">
      <alignment horizontal="center" vertical="center"/>
    </xf>
    <xf numFmtId="0" fontId="2" fillId="0" borderId="0" xfId="1" applyFont="1" applyAlignment="1">
      <alignment horizontal="center" vertical="center"/>
    </xf>
    <xf numFmtId="0" fontId="0" fillId="0" borderId="0" xfId="0" applyAlignment="1">
      <alignment horizontal="center" vertical="center"/>
    </xf>
    <xf numFmtId="0" fontId="4" fillId="0" borderId="31" xfId="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5" fillId="0" borderId="28" xfId="1" applyFont="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2" fillId="0" borderId="0" xfId="1" applyFont="1">
      <alignment vertical="center"/>
    </xf>
    <xf numFmtId="0" fontId="0" fillId="0" borderId="0" xfId="0">
      <alignment vertical="center"/>
    </xf>
    <xf numFmtId="0" fontId="7" fillId="0" borderId="71" xfId="2" applyFont="1" applyBorder="1" applyAlignment="1">
      <alignment horizontal="center" shrinkToFit="1"/>
    </xf>
    <xf numFmtId="0" fontId="1" fillId="0" borderId="71" xfId="1" applyBorder="1" applyAlignment="1">
      <alignment horizontal="center" shrinkToFit="1"/>
    </xf>
    <xf numFmtId="56" fontId="10" fillId="0" borderId="71" xfId="1" applyNumberFormat="1" applyFont="1" applyBorder="1" applyAlignment="1">
      <alignment horizontal="left" shrinkToFit="1"/>
    </xf>
    <xf numFmtId="0" fontId="0" fillId="0" borderId="71" xfId="0" applyBorder="1" applyAlignment="1">
      <alignment horizontal="left" shrinkToFit="1"/>
    </xf>
    <xf numFmtId="0" fontId="30" fillId="0" borderId="54" xfId="1" applyFont="1" applyBorder="1" applyAlignment="1">
      <alignment horizontal="center" vertical="top" wrapText="1" shrinkToFit="1"/>
    </xf>
    <xf numFmtId="0" fontId="30" fillId="0" borderId="56" xfId="1" applyFont="1" applyBorder="1" applyAlignment="1">
      <alignment horizontal="center" vertical="top" shrinkToFit="1"/>
    </xf>
    <xf numFmtId="0" fontId="6" fillId="0" borderId="65" xfId="1" applyFont="1" applyBorder="1" applyAlignment="1">
      <alignment horizontal="center" vertical="center"/>
    </xf>
    <xf numFmtId="0" fontId="0" fillId="0" borderId="64" xfId="0" applyBorder="1">
      <alignment vertical="center"/>
    </xf>
    <xf numFmtId="0" fontId="0" fillId="0" borderId="63" xfId="0" applyBorder="1">
      <alignment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6" fillId="0" borderId="61" xfId="1" applyFont="1" applyBorder="1" applyAlignment="1">
      <alignment horizontal="center" vertical="center"/>
    </xf>
    <xf numFmtId="0" fontId="0" fillId="0" borderId="32" xfId="0" applyBorder="1">
      <alignment vertical="center"/>
    </xf>
    <xf numFmtId="0" fontId="0" fillId="0" borderId="60" xfId="0" applyBorder="1">
      <alignment vertical="center"/>
    </xf>
    <xf numFmtId="0" fontId="6" fillId="0" borderId="59" xfId="1" applyFont="1" applyBorder="1" applyAlignment="1">
      <alignment horizontal="center" vertical="center"/>
    </xf>
    <xf numFmtId="0" fontId="0" fillId="0" borderId="37" xfId="0" applyBorder="1">
      <alignment vertical="center"/>
    </xf>
    <xf numFmtId="0" fontId="0" fillId="0" borderId="58" xfId="0" applyBorder="1">
      <alignment vertical="center"/>
    </xf>
    <xf numFmtId="0" fontId="1" fillId="0" borderId="24" xfId="1"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9" fillId="0" borderId="68" xfId="1" applyFont="1" applyBorder="1" applyAlignment="1">
      <alignment horizontal="center" vertical="center"/>
    </xf>
    <xf numFmtId="0" fontId="9" fillId="0" borderId="67" xfId="1" applyFont="1" applyBorder="1" applyAlignment="1">
      <alignment horizontal="center" vertical="center"/>
    </xf>
    <xf numFmtId="0" fontId="9" fillId="0" borderId="66" xfId="1" applyFont="1" applyBorder="1" applyAlignment="1">
      <alignment horizontal="center" vertical="center"/>
    </xf>
    <xf numFmtId="0" fontId="9" fillId="0" borderId="59" xfId="1" applyFont="1" applyBorder="1" applyAlignment="1">
      <alignment horizontal="center" vertical="center"/>
    </xf>
    <xf numFmtId="0" fontId="9" fillId="0" borderId="37" xfId="1" applyFont="1" applyBorder="1" applyAlignment="1">
      <alignment horizontal="center" vertical="center"/>
    </xf>
    <xf numFmtId="0" fontId="9" fillId="0" borderId="58" xfId="1" applyFont="1" applyBorder="1" applyAlignment="1">
      <alignment horizontal="center" vertical="center"/>
    </xf>
    <xf numFmtId="0" fontId="6" fillId="0" borderId="24" xfId="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66" xfId="1" applyFont="1" applyBorder="1" applyAlignment="1">
      <alignment horizontal="center" vertical="center"/>
    </xf>
    <xf numFmtId="0" fontId="6" fillId="0" borderId="62" xfId="1" applyFont="1" applyBorder="1" applyAlignment="1">
      <alignment horizontal="center" vertical="center"/>
    </xf>
    <xf numFmtId="0" fontId="6" fillId="0" borderId="56" xfId="1" applyFont="1" applyBorder="1" applyAlignment="1">
      <alignment horizontal="center" vertical="center"/>
    </xf>
    <xf numFmtId="0" fontId="6" fillId="0" borderId="68" xfId="1" applyFont="1" applyBorder="1" applyAlignment="1">
      <alignment horizontal="center" vertical="center"/>
    </xf>
    <xf numFmtId="0" fontId="0" fillId="0" borderId="67" xfId="0" applyBorder="1">
      <alignment vertical="center"/>
    </xf>
    <xf numFmtId="0" fontId="0" fillId="0" borderId="66" xfId="0" applyBorder="1">
      <alignment vertical="center"/>
    </xf>
    <xf numFmtId="0" fontId="10" fillId="0" borderId="0" xfId="1" applyFont="1" applyAlignment="1">
      <alignment horizontal="center" vertical="center" shrinkToFit="1"/>
    </xf>
    <xf numFmtId="185" fontId="21" fillId="0" borderId="0" xfId="1" applyNumberFormat="1" applyFont="1">
      <alignment vertical="center"/>
    </xf>
    <xf numFmtId="0" fontId="31" fillId="2" borderId="2" xfId="1" applyFont="1" applyFill="1" applyBorder="1" applyAlignment="1">
      <alignment horizontal="center" vertical="center" textRotation="255" shrinkToFit="1"/>
    </xf>
    <xf numFmtId="0" fontId="32" fillId="0" borderId="2" xfId="1" applyFont="1" applyBorder="1" applyAlignment="1">
      <alignment horizontal="center" vertical="center" textRotation="255"/>
    </xf>
    <xf numFmtId="0" fontId="33" fillId="0" borderId="2" xfId="1" applyFont="1" applyBorder="1" applyAlignment="1">
      <alignment horizontal="left" vertical="center"/>
    </xf>
    <xf numFmtId="0" fontId="21" fillId="0" borderId="31" xfId="1" applyFont="1" applyBorder="1" applyAlignment="1">
      <alignment horizontal="center" vertical="center"/>
    </xf>
    <xf numFmtId="0" fontId="21" fillId="0" borderId="32" xfId="1" applyFont="1" applyBorder="1" applyAlignment="1">
      <alignment horizontal="center" vertical="center"/>
    </xf>
    <xf numFmtId="0" fontId="21" fillId="0" borderId="33" xfId="1" applyFont="1" applyBorder="1" applyAlignment="1">
      <alignment horizontal="center" vertical="center"/>
    </xf>
    <xf numFmtId="0" fontId="24" fillId="0" borderId="31" xfId="1" applyFont="1" applyBorder="1" applyAlignment="1">
      <alignment horizontal="center" vertical="center" wrapText="1"/>
    </xf>
    <xf numFmtId="0" fontId="24" fillId="0" borderId="32" xfId="1" applyFont="1" applyBorder="1" applyAlignment="1">
      <alignment horizontal="center" vertical="center" wrapText="1"/>
    </xf>
    <xf numFmtId="0" fontId="24" fillId="0" borderId="33" xfId="1" applyFont="1" applyBorder="1" applyAlignment="1">
      <alignment horizontal="center" vertical="center" wrapText="1"/>
    </xf>
    <xf numFmtId="0" fontId="21" fillId="0" borderId="72" xfId="1" applyFont="1" applyBorder="1" applyAlignment="1">
      <alignment horizontal="center" vertical="center" shrinkToFit="1"/>
    </xf>
    <xf numFmtId="0" fontId="24" fillId="0" borderId="1" xfId="1" applyFont="1" applyBorder="1" applyAlignment="1">
      <alignment horizontal="center" vertical="center" wrapText="1"/>
    </xf>
    <xf numFmtId="0" fontId="21" fillId="0" borderId="2" xfId="1" applyFont="1" applyBorder="1" applyAlignment="1">
      <alignment horizontal="right" vertical="center"/>
    </xf>
    <xf numFmtId="0" fontId="21" fillId="0" borderId="2" xfId="1" applyFont="1" applyBorder="1" applyAlignment="1">
      <alignment horizontal="center" vertical="center"/>
    </xf>
    <xf numFmtId="0" fontId="21" fillId="6" borderId="2" xfId="1" applyFont="1" applyFill="1" applyBorder="1" applyAlignment="1">
      <alignment horizontal="center" vertical="center" wrapText="1" shrinkToFit="1"/>
    </xf>
    <xf numFmtId="0" fontId="21" fillId="7" borderId="2" xfId="1" applyFont="1" applyFill="1" applyBorder="1" applyAlignment="1">
      <alignment horizontal="center" vertical="center" wrapText="1" shrinkToFit="1"/>
    </xf>
    <xf numFmtId="0" fontId="21" fillId="8" borderId="2" xfId="1" applyFont="1" applyFill="1" applyBorder="1" applyAlignment="1">
      <alignment horizontal="center" vertical="center" wrapText="1" shrinkToFit="1"/>
    </xf>
    <xf numFmtId="0" fontId="34" fillId="0" borderId="22" xfId="1" applyFont="1" applyBorder="1" applyAlignment="1">
      <alignment horizontal="center" vertical="center" wrapText="1"/>
    </xf>
    <xf numFmtId="0" fontId="34" fillId="0" borderId="1" xfId="1" applyFont="1" applyBorder="1" applyAlignment="1">
      <alignment horizontal="center" vertical="center" wrapText="1"/>
    </xf>
    <xf numFmtId="0" fontId="21" fillId="0" borderId="11" xfId="4" applyFont="1" applyBorder="1" applyAlignment="1">
      <alignment horizontal="center" wrapText="1" shrinkToFit="1"/>
    </xf>
    <xf numFmtId="0" fontId="21" fillId="0" borderId="22" xfId="4" applyFont="1" applyBorder="1" applyAlignment="1">
      <alignment horizontal="center" wrapText="1" shrinkToFit="1"/>
    </xf>
    <xf numFmtId="0" fontId="21" fillId="0" borderId="73" xfId="1" applyFont="1" applyBorder="1" applyAlignment="1">
      <alignment horizontal="center" vertical="center" shrinkToFit="1"/>
    </xf>
    <xf numFmtId="0" fontId="21" fillId="0" borderId="11" xfId="4" applyFont="1" applyBorder="1" applyAlignment="1">
      <alignment horizontal="center" wrapText="1" shrinkToFit="1"/>
    </xf>
    <xf numFmtId="0" fontId="21" fillId="0" borderId="34" xfId="4" applyFont="1" applyBorder="1" applyAlignment="1">
      <alignment horizontal="center" wrapText="1" shrinkToFit="1"/>
    </xf>
    <xf numFmtId="0" fontId="34" fillId="0" borderId="21" xfId="1" applyFont="1" applyBorder="1" applyAlignment="1">
      <alignment horizontal="center" vertical="center" wrapText="1"/>
    </xf>
    <xf numFmtId="0" fontId="34" fillId="0" borderId="18" xfId="1" applyFont="1" applyBorder="1" applyAlignment="1">
      <alignment horizontal="center" vertical="center" wrapText="1"/>
    </xf>
    <xf numFmtId="0" fontId="21" fillId="0" borderId="10" xfId="4" applyFont="1" applyBorder="1" applyAlignment="1">
      <alignment horizontal="center" wrapText="1" shrinkToFit="1"/>
    </xf>
    <xf numFmtId="0" fontId="21" fillId="0" borderId="21" xfId="4" applyFont="1" applyBorder="1" applyAlignment="1">
      <alignment horizontal="center" wrapText="1" shrinkToFit="1"/>
    </xf>
    <xf numFmtId="0" fontId="21" fillId="0" borderId="74" xfId="1" applyFont="1" applyBorder="1" applyAlignment="1">
      <alignment horizontal="center" vertical="center" shrinkToFit="1"/>
    </xf>
    <xf numFmtId="0" fontId="36" fillId="0" borderId="2" xfId="1" applyFont="1" applyBorder="1" applyAlignment="1">
      <alignment horizontal="center" vertical="center" wrapText="1"/>
    </xf>
    <xf numFmtId="0" fontId="36" fillId="0" borderId="2" xfId="1" applyFont="1" applyBorder="1" applyAlignment="1">
      <alignment horizontal="center" vertical="center" textRotation="255" shrinkToFit="1"/>
    </xf>
    <xf numFmtId="0" fontId="36" fillId="0" borderId="38" xfId="1" applyFont="1" applyBorder="1" applyAlignment="1">
      <alignment horizontal="left" vertical="center"/>
    </xf>
    <xf numFmtId="0" fontId="25" fillId="0" borderId="2" xfId="1" applyFont="1" applyBorder="1" applyAlignment="1">
      <alignment horizontal="left" vertical="top" wrapText="1"/>
    </xf>
    <xf numFmtId="186" fontId="36" fillId="0" borderId="38" xfId="1" applyNumberFormat="1" applyFont="1" applyBorder="1">
      <alignment vertical="center"/>
    </xf>
    <xf numFmtId="0" fontId="36" fillId="0" borderId="38" xfId="1" applyFont="1" applyBorder="1">
      <alignment vertical="center"/>
    </xf>
    <xf numFmtId="0" fontId="36" fillId="0" borderId="38" xfId="4" applyFont="1" applyBorder="1" applyAlignment="1">
      <alignment horizontal="left" vertical="top" wrapText="1"/>
    </xf>
    <xf numFmtId="0" fontId="36" fillId="0" borderId="34" xfId="4" applyFont="1" applyBorder="1" applyAlignment="1">
      <alignment horizontal="left" vertical="top" wrapText="1"/>
    </xf>
    <xf numFmtId="0" fontId="36" fillId="0" borderId="72" xfId="1" applyFont="1" applyBorder="1" applyAlignment="1">
      <alignment horizontal="left" vertical="top" shrinkToFit="1"/>
    </xf>
    <xf numFmtId="0" fontId="36" fillId="0" borderId="11" xfId="4" applyFont="1" applyBorder="1" applyAlignment="1">
      <alignment horizontal="left" vertical="top" wrapText="1"/>
    </xf>
    <xf numFmtId="0" fontId="36" fillId="0" borderId="2" xfId="1" applyFont="1" applyBorder="1" applyAlignment="1">
      <alignment horizontal="center" vertical="center"/>
    </xf>
    <xf numFmtId="0" fontId="36" fillId="2" borderId="38" xfId="1" applyFont="1" applyFill="1" applyBorder="1">
      <alignment vertical="center"/>
    </xf>
    <xf numFmtId="0" fontId="36" fillId="9" borderId="11" xfId="1" applyFont="1" applyFill="1" applyBorder="1">
      <alignment vertical="center"/>
    </xf>
    <xf numFmtId="0" fontId="8" fillId="0" borderId="2" xfId="1" applyFont="1" applyBorder="1" applyAlignment="1">
      <alignment horizontal="left" vertical="top" wrapText="1"/>
    </xf>
    <xf numFmtId="0" fontId="25" fillId="0" borderId="11" xfId="1" applyFont="1" applyBorder="1" applyAlignment="1">
      <alignment horizontal="left" vertical="top" wrapText="1"/>
    </xf>
    <xf numFmtId="185" fontId="36" fillId="0" borderId="11" xfId="1" applyNumberFormat="1" applyFont="1" applyBorder="1">
      <alignment vertical="center"/>
    </xf>
    <xf numFmtId="0" fontId="36" fillId="0" borderId="11" xfId="1" applyFont="1" applyBorder="1">
      <alignment vertical="center"/>
    </xf>
    <xf numFmtId="0" fontId="36" fillId="0" borderId="11" xfId="4" applyFont="1" applyBorder="1" applyAlignment="1">
      <alignment horizontal="left" vertical="top" wrapText="1"/>
    </xf>
    <xf numFmtId="0" fontId="36" fillId="0" borderId="22" xfId="4" applyFont="1" applyBorder="1" applyAlignment="1">
      <alignment horizontal="left" vertical="top" wrapText="1"/>
    </xf>
    <xf numFmtId="0" fontId="36" fillId="0" borderId="73" xfId="1" applyFont="1" applyBorder="1" applyAlignment="1">
      <alignment horizontal="left" vertical="top" shrinkToFit="1"/>
    </xf>
    <xf numFmtId="0" fontId="36" fillId="0" borderId="1" xfId="4" applyFont="1" applyBorder="1" applyAlignment="1">
      <alignment horizontal="left" vertical="top" wrapText="1"/>
    </xf>
    <xf numFmtId="0" fontId="36" fillId="0" borderId="10" xfId="1" applyFont="1" applyBorder="1">
      <alignment vertical="center"/>
    </xf>
    <xf numFmtId="0" fontId="25" fillId="0" borderId="10" xfId="1" applyFont="1" applyBorder="1" applyAlignment="1">
      <alignment horizontal="left" vertical="top" wrapText="1"/>
    </xf>
    <xf numFmtId="185" fontId="36" fillId="0" borderId="10" xfId="1" applyNumberFormat="1" applyFont="1" applyBorder="1">
      <alignment vertical="center"/>
    </xf>
    <xf numFmtId="0" fontId="36" fillId="0" borderId="10" xfId="4" applyFont="1" applyBorder="1" applyAlignment="1">
      <alignment horizontal="left" vertical="top" wrapText="1"/>
    </xf>
    <xf numFmtId="0" fontId="36" fillId="0" borderId="21" xfId="4" applyFont="1" applyBorder="1" applyAlignment="1">
      <alignment horizontal="left" vertical="top" wrapText="1"/>
    </xf>
    <xf numFmtId="0" fontId="36" fillId="0" borderId="74" xfId="1" applyFont="1" applyBorder="1" applyAlignment="1">
      <alignment horizontal="left" vertical="top" shrinkToFit="1"/>
    </xf>
    <xf numFmtId="0" fontId="36" fillId="10" borderId="2" xfId="1" applyFont="1" applyFill="1" applyBorder="1" applyAlignment="1">
      <alignment horizontal="center" vertical="center" wrapText="1"/>
    </xf>
    <xf numFmtId="0" fontId="36" fillId="10" borderId="2" xfId="1" applyFont="1" applyFill="1" applyBorder="1" applyAlignment="1">
      <alignment horizontal="center" vertical="center" textRotation="255" shrinkToFit="1"/>
    </xf>
    <xf numFmtId="0" fontId="36" fillId="0" borderId="2" xfId="1" applyFont="1" applyBorder="1" applyAlignment="1">
      <alignment vertical="center" wrapText="1"/>
    </xf>
    <xf numFmtId="0" fontId="36" fillId="10" borderId="2" xfId="1" applyFont="1" applyFill="1" applyBorder="1" applyAlignment="1">
      <alignment vertical="center" wrapText="1"/>
    </xf>
    <xf numFmtId="0" fontId="36" fillId="11" borderId="11" xfId="1" applyFont="1" applyFill="1" applyBorder="1">
      <alignment vertical="center"/>
    </xf>
    <xf numFmtId="0" fontId="36" fillId="12" borderId="38" xfId="1" applyFont="1" applyFill="1" applyBorder="1">
      <alignment vertical="center"/>
    </xf>
    <xf numFmtId="0" fontId="36" fillId="2" borderId="11" xfId="1" applyFont="1" applyFill="1" applyBorder="1">
      <alignment vertical="center"/>
    </xf>
    <xf numFmtId="0" fontId="36" fillId="0" borderId="2" xfId="1" applyFont="1" applyBorder="1">
      <alignment vertical="center"/>
    </xf>
    <xf numFmtId="0" fontId="25" fillId="13" borderId="34" xfId="1" applyFont="1" applyFill="1" applyBorder="1" applyAlignment="1">
      <alignment horizontal="center" vertical="top" wrapText="1"/>
    </xf>
    <xf numFmtId="0" fontId="25" fillId="13" borderId="35" xfId="1" applyFont="1" applyFill="1" applyBorder="1" applyAlignment="1">
      <alignment horizontal="center" vertical="top" wrapText="1"/>
    </xf>
    <xf numFmtId="0" fontId="25" fillId="13" borderId="36" xfId="1" applyFont="1" applyFill="1" applyBorder="1" applyAlignment="1">
      <alignment horizontal="center" vertical="top" wrapText="1"/>
    </xf>
    <xf numFmtId="0" fontId="25" fillId="13" borderId="21" xfId="1" applyFont="1" applyFill="1" applyBorder="1" applyAlignment="1">
      <alignment horizontal="center" vertical="top" wrapText="1"/>
    </xf>
    <xf numFmtId="0" fontId="25" fillId="13" borderId="37" xfId="1" applyFont="1" applyFill="1" applyBorder="1" applyAlignment="1">
      <alignment horizontal="center" vertical="top" wrapText="1"/>
    </xf>
    <xf numFmtId="0" fontId="25" fillId="13" borderId="18" xfId="1" applyFont="1" applyFill="1" applyBorder="1" applyAlignment="1">
      <alignment horizontal="center" vertical="top" wrapText="1"/>
    </xf>
    <xf numFmtId="0" fontId="36" fillId="12" borderId="38" xfId="1" applyFont="1" applyFill="1" applyBorder="1" applyAlignment="1">
      <alignment vertical="center" shrinkToFit="1"/>
    </xf>
    <xf numFmtId="0" fontId="36" fillId="0" borderId="38" xfId="1" applyFont="1" applyBorder="1" applyAlignment="1">
      <alignment horizontal="center" vertical="center"/>
    </xf>
    <xf numFmtId="0" fontId="36" fillId="14" borderId="11" xfId="1" applyFont="1" applyFill="1" applyBorder="1">
      <alignment vertical="center"/>
    </xf>
    <xf numFmtId="0" fontId="36" fillId="0" borderId="38" xfId="1" applyFont="1" applyBorder="1" applyAlignment="1">
      <alignment vertical="center" shrinkToFit="1"/>
    </xf>
    <xf numFmtId="0" fontId="36" fillId="0" borderId="33" xfId="1" applyFont="1" applyBorder="1" applyAlignment="1">
      <alignment horizontal="center" vertical="center"/>
    </xf>
    <xf numFmtId="0" fontId="36" fillId="0" borderId="75" xfId="1" applyFont="1" applyBorder="1" applyAlignment="1">
      <alignment horizontal="left" vertical="top" shrinkToFit="1"/>
    </xf>
    <xf numFmtId="0" fontId="36" fillId="0" borderId="76" xfId="1" applyFont="1" applyBorder="1" applyAlignment="1">
      <alignment horizontal="left" vertical="top" shrinkToFit="1"/>
    </xf>
    <xf numFmtId="0" fontId="36" fillId="0" borderId="77" xfId="1" applyFont="1" applyBorder="1" applyAlignment="1">
      <alignment horizontal="left" vertical="top" shrinkToFit="1"/>
    </xf>
    <xf numFmtId="0" fontId="36" fillId="0" borderId="10" xfId="1" applyFont="1" applyBorder="1" applyAlignment="1">
      <alignment horizontal="center" vertical="center" wrapText="1"/>
    </xf>
    <xf numFmtId="0" fontId="36" fillId="0" borderId="10" xfId="1" applyFont="1" applyBorder="1" applyAlignment="1">
      <alignment horizontal="center" vertical="center"/>
    </xf>
    <xf numFmtId="0" fontId="36" fillId="0" borderId="11" xfId="1" applyFont="1" applyBorder="1" applyAlignment="1">
      <alignment horizontal="left" vertical="center"/>
    </xf>
    <xf numFmtId="186" fontId="36" fillId="0" borderId="11" xfId="1" applyNumberFormat="1" applyFont="1" applyBorder="1">
      <alignment vertical="center"/>
    </xf>
    <xf numFmtId="0" fontId="36" fillId="0" borderId="78" xfId="4" applyFont="1" applyBorder="1" applyAlignment="1">
      <alignment horizontal="left" vertical="top" wrapText="1"/>
    </xf>
    <xf numFmtId="0" fontId="36" fillId="0" borderId="1" xfId="1" applyFont="1" applyBorder="1" applyAlignment="1">
      <alignment horizontal="left" vertical="top" shrinkToFit="1"/>
    </xf>
    <xf numFmtId="186" fontId="36" fillId="0" borderId="38" xfId="1" applyNumberFormat="1" applyFont="1" applyBorder="1" applyAlignment="1">
      <alignment horizontal="right" vertical="center"/>
    </xf>
    <xf numFmtId="0" fontId="36" fillId="0" borderId="79" xfId="4" applyFont="1" applyBorder="1" applyAlignment="1">
      <alignment horizontal="left" vertical="top" wrapText="1"/>
    </xf>
    <xf numFmtId="0" fontId="36" fillId="0" borderId="36" xfId="1" applyFont="1" applyBorder="1" applyAlignment="1">
      <alignment horizontal="left" vertical="top" shrinkToFit="1"/>
    </xf>
    <xf numFmtId="0" fontId="36" fillId="0" borderId="80" xfId="4" applyFont="1" applyBorder="1" applyAlignment="1">
      <alignment horizontal="left" vertical="top" wrapText="1"/>
    </xf>
    <xf numFmtId="0" fontId="36" fillId="0" borderId="18" xfId="1" applyFont="1" applyBorder="1" applyAlignment="1">
      <alignment horizontal="left" vertical="top" shrinkToFit="1"/>
    </xf>
    <xf numFmtId="0" fontId="36" fillId="0" borderId="38" xfId="1" applyFont="1" applyBorder="1" applyAlignment="1">
      <alignment horizontal="center" vertical="center" wrapText="1"/>
    </xf>
    <xf numFmtId="0" fontId="36" fillId="0" borderId="11" xfId="1" applyFont="1" applyBorder="1" applyAlignment="1">
      <alignment horizontal="center" vertical="center" wrapText="1"/>
    </xf>
    <xf numFmtId="0" fontId="36" fillId="0" borderId="11" xfId="1" applyFont="1" applyBorder="1" applyAlignment="1">
      <alignment horizontal="center" vertical="center"/>
    </xf>
    <xf numFmtId="0" fontId="36" fillId="0" borderId="31" xfId="1" applyFont="1" applyBorder="1" applyAlignment="1">
      <alignment horizontal="center" vertical="center" shrinkToFit="1"/>
    </xf>
    <xf numFmtId="0" fontId="36" fillId="0" borderId="31" xfId="1" applyFont="1" applyBorder="1" applyAlignment="1">
      <alignment horizontal="center" vertical="center"/>
    </xf>
    <xf numFmtId="0" fontId="36" fillId="0" borderId="32" xfId="1" applyFont="1" applyBorder="1" applyAlignment="1">
      <alignment horizontal="center" vertical="center"/>
    </xf>
    <xf numFmtId="0" fontId="21" fillId="0" borderId="35" xfId="1" applyFont="1" applyBorder="1">
      <alignment vertical="center"/>
    </xf>
    <xf numFmtId="0" fontId="36" fillId="0" borderId="2" xfId="1" applyFont="1" applyBorder="1" applyAlignment="1">
      <alignment horizontal="center" vertical="center"/>
    </xf>
    <xf numFmtId="0" fontId="36" fillId="0" borderId="31" xfId="1" applyFont="1" applyBorder="1" applyAlignment="1">
      <alignment horizontal="center" vertical="center"/>
    </xf>
    <xf numFmtId="0" fontId="36" fillId="0" borderId="33" xfId="1" applyFont="1" applyBorder="1">
      <alignment vertical="center"/>
    </xf>
    <xf numFmtId="186" fontId="36" fillId="0" borderId="2" xfId="1" applyNumberFormat="1" applyFont="1" applyBorder="1" applyAlignment="1">
      <alignment horizontal="center" vertical="center"/>
    </xf>
    <xf numFmtId="185" fontId="36" fillId="0" borderId="2" xfId="1" applyNumberFormat="1" applyFont="1" applyBorder="1" applyAlignment="1">
      <alignment horizontal="center" vertical="center"/>
    </xf>
    <xf numFmtId="185" fontId="36" fillId="0" borderId="2" xfId="1" applyNumberFormat="1" applyFont="1" applyBorder="1" applyAlignment="1">
      <alignment horizontal="center" vertical="center"/>
    </xf>
    <xf numFmtId="0" fontId="36" fillId="0" borderId="0" xfId="4" applyFont="1" applyAlignment="1">
      <alignment horizontal="left" vertical="top" wrapText="1"/>
    </xf>
    <xf numFmtId="0" fontId="36" fillId="0" borderId="35" xfId="1" applyFont="1" applyBorder="1" applyAlignment="1">
      <alignment horizontal="left" vertical="center" shrinkToFit="1"/>
    </xf>
    <xf numFmtId="0" fontId="0" fillId="0" borderId="35" xfId="0" applyBorder="1" applyAlignment="1">
      <alignment vertical="center" shrinkToFit="1"/>
    </xf>
    <xf numFmtId="0" fontId="0" fillId="0" borderId="35" xfId="0" applyBorder="1" applyAlignment="1">
      <alignment vertical="center" shrinkToFit="1"/>
    </xf>
    <xf numFmtId="0" fontId="38" fillId="0" borderId="35" xfId="1" applyFont="1" applyBorder="1" applyAlignment="1">
      <alignment horizontal="left" vertical="center"/>
    </xf>
    <xf numFmtId="186" fontId="21" fillId="0" borderId="0" xfId="1" applyNumberFormat="1" applyFont="1" applyAlignment="1">
      <alignment horizontal="center" vertical="center"/>
    </xf>
    <xf numFmtId="185" fontId="21" fillId="0" borderId="0" xfId="1" applyNumberFormat="1" applyFont="1" applyAlignment="1">
      <alignment horizontal="center" vertical="center"/>
    </xf>
    <xf numFmtId="0" fontId="36" fillId="0" borderId="0" xfId="4" applyFont="1">
      <alignment vertical="center"/>
    </xf>
    <xf numFmtId="0" fontId="36" fillId="0" borderId="0" xfId="1" applyFont="1" applyAlignment="1">
      <alignment vertical="center" wrapText="1"/>
    </xf>
    <xf numFmtId="0" fontId="36" fillId="0" borderId="0" xfId="1" applyFont="1" applyAlignment="1">
      <alignment horizontal="left" vertical="center"/>
    </xf>
    <xf numFmtId="0" fontId="39" fillId="0" borderId="0" xfId="1" applyFont="1" applyAlignment="1">
      <alignment horizontal="left" vertical="center" wrapText="1"/>
    </xf>
    <xf numFmtId="0" fontId="36" fillId="0" borderId="0" xfId="1" applyFont="1" applyAlignment="1">
      <alignment horizontal="left" vertical="center" wrapText="1"/>
    </xf>
    <xf numFmtId="0" fontId="36" fillId="0" borderId="0" xfId="1" applyFont="1" applyAlignment="1">
      <alignment horizontal="center" vertical="center"/>
    </xf>
    <xf numFmtId="0" fontId="36" fillId="0" borderId="0" xfId="1" applyFont="1" applyAlignment="1">
      <alignment horizontal="center" vertical="center"/>
    </xf>
    <xf numFmtId="0" fontId="21" fillId="0" borderId="0" xfId="1" applyFont="1" applyAlignment="1">
      <alignment horizontal="left" vertical="center"/>
    </xf>
    <xf numFmtId="0" fontId="36" fillId="0" borderId="0" xfId="1" applyFont="1">
      <alignment vertical="center"/>
    </xf>
    <xf numFmtId="0" fontId="36" fillId="0" borderId="0" xfId="1" applyFont="1" applyAlignment="1">
      <alignment horizontal="left" vertical="top"/>
    </xf>
    <xf numFmtId="0" fontId="21" fillId="0" borderId="0" xfId="1" applyFont="1" applyAlignment="1">
      <alignment vertical="center" wrapText="1"/>
    </xf>
    <xf numFmtId="0" fontId="21" fillId="0" borderId="0" xfId="1" applyFont="1" applyAlignment="1">
      <alignment horizontal="left" vertical="top" wrapText="1"/>
    </xf>
  </cellXfs>
  <cellStyles count="5">
    <cellStyle name="標準" xfId="0" builtinId="0"/>
    <cellStyle name="標準 2" xfId="1" xr:uid="{00000000-0005-0000-0000-000001000000}"/>
    <cellStyle name="標準 2 16" xfId="4" xr:uid="{422CC88A-9946-4589-9091-8891D5AF1CD5}"/>
    <cellStyle name="標準 3" xfId="3" xr:uid="{0BCE6D22-AA08-4FB7-8EB1-1A1E52E5A95B}"/>
    <cellStyle name="標準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8" Type="http://schemas.openxmlformats.org/officeDocument/2006/relationships/image" Target="../media/image39.png"/><Relationship Id="rId13" Type="http://schemas.openxmlformats.org/officeDocument/2006/relationships/image" Target="../media/image44.png"/><Relationship Id="rId18" Type="http://schemas.openxmlformats.org/officeDocument/2006/relationships/image" Target="../media/image48.png"/><Relationship Id="rId3" Type="http://schemas.openxmlformats.org/officeDocument/2006/relationships/image" Target="../media/image35.png"/><Relationship Id="rId7" Type="http://schemas.openxmlformats.org/officeDocument/2006/relationships/image" Target="../media/image38.png"/><Relationship Id="rId12" Type="http://schemas.openxmlformats.org/officeDocument/2006/relationships/image" Target="../media/image43.png"/><Relationship Id="rId17" Type="http://schemas.openxmlformats.org/officeDocument/2006/relationships/image" Target="../media/image47.png"/><Relationship Id="rId2" Type="http://schemas.openxmlformats.org/officeDocument/2006/relationships/image" Target="../media/image34.png"/><Relationship Id="rId16" Type="http://schemas.openxmlformats.org/officeDocument/2006/relationships/image" Target="../media/image46.png"/><Relationship Id="rId1" Type="http://schemas.openxmlformats.org/officeDocument/2006/relationships/image" Target="../media/image33.png"/><Relationship Id="rId6" Type="http://schemas.openxmlformats.org/officeDocument/2006/relationships/image" Target="../media/image37.png"/><Relationship Id="rId11" Type="http://schemas.openxmlformats.org/officeDocument/2006/relationships/image" Target="../media/image42.png"/><Relationship Id="rId5" Type="http://schemas.openxmlformats.org/officeDocument/2006/relationships/image" Target="../media/image11.png"/><Relationship Id="rId15" Type="http://schemas.openxmlformats.org/officeDocument/2006/relationships/image" Target="../media/image45.png"/><Relationship Id="rId10" Type="http://schemas.openxmlformats.org/officeDocument/2006/relationships/image" Target="../media/image41.png"/><Relationship Id="rId4" Type="http://schemas.openxmlformats.org/officeDocument/2006/relationships/image" Target="../media/image36.png"/><Relationship Id="rId9" Type="http://schemas.openxmlformats.org/officeDocument/2006/relationships/image" Target="../media/image40.png"/><Relationship Id="rId14" Type="http://schemas.openxmlformats.org/officeDocument/2006/relationships/image" Target="../media/image25.png"/></Relationships>
</file>

<file path=xl/drawings/_rels/drawing3.xml.rels><?xml version="1.0" encoding="UTF-8" standalone="yes"?>
<Relationships xmlns="http://schemas.openxmlformats.org/package/2006/relationships"><Relationship Id="rId1" Type="http://schemas.openxmlformats.org/officeDocument/2006/relationships/image" Target="../media/image49.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12</xdr:col>
      <xdr:colOff>230188</xdr:colOff>
      <xdr:row>78</xdr:row>
      <xdr:rowOff>50219</xdr:rowOff>
    </xdr:from>
    <xdr:to>
      <xdr:col>14</xdr:col>
      <xdr:colOff>71438</xdr:colOff>
      <xdr:row>82</xdr:row>
      <xdr:rowOff>142875</xdr:rowOff>
    </xdr:to>
    <xdr:sp macro="" textlink="">
      <xdr:nvSpPr>
        <xdr:cNvPr id="2" name="テキスト ボックス 1">
          <a:extLst>
            <a:ext uri="{FF2B5EF4-FFF2-40B4-BE49-F238E27FC236}">
              <a16:creationId xmlns:a16="http://schemas.microsoft.com/office/drawing/2014/main" id="{22A0D5A1-165C-451D-B8B1-ADEEC8396918}"/>
            </a:ext>
          </a:extLst>
        </xdr:cNvPr>
        <xdr:cNvSpPr txBox="1"/>
      </xdr:nvSpPr>
      <xdr:spPr bwMode="auto">
        <a:xfrm>
          <a:off x="8478838" y="12899444"/>
          <a:ext cx="1841500" cy="74035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050"/>
            <a:t>食べ物は良く噛んで食べましょう。良く噛むことで、虫歯予防や消化の負担が減り、お腹に良いと言われています。</a:t>
          </a:r>
          <a:endParaRPr kumimoji="1" lang="en-US" altLang="ja-JP" sz="1050"/>
        </a:p>
      </xdr:txBody>
    </xdr:sp>
    <xdr:clientData/>
  </xdr:twoCellAnchor>
  <xdr:twoCellAnchor>
    <xdr:from>
      <xdr:col>12</xdr:col>
      <xdr:colOff>237890</xdr:colOff>
      <xdr:row>77</xdr:row>
      <xdr:rowOff>27212</xdr:rowOff>
    </xdr:from>
    <xdr:to>
      <xdr:col>13</xdr:col>
      <xdr:colOff>1146575</xdr:colOff>
      <xdr:row>77</xdr:row>
      <xdr:rowOff>151102</xdr:rowOff>
    </xdr:to>
    <xdr:pic>
      <xdr:nvPicPr>
        <xdr:cNvPr id="3" name="図 19">
          <a:extLst>
            <a:ext uri="{FF2B5EF4-FFF2-40B4-BE49-F238E27FC236}">
              <a16:creationId xmlns:a16="http://schemas.microsoft.com/office/drawing/2014/main" id="{A067ABA3-85D3-476D-A52F-0F028F7224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540" y="12714512"/>
          <a:ext cx="1718310" cy="12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230036</xdr:colOff>
      <xdr:row>82</xdr:row>
      <xdr:rowOff>105928</xdr:rowOff>
    </xdr:from>
    <xdr:to>
      <xdr:col>13</xdr:col>
      <xdr:colOff>1113436</xdr:colOff>
      <xdr:row>83</xdr:row>
      <xdr:rowOff>63500</xdr:rowOff>
    </xdr:to>
    <xdr:pic>
      <xdr:nvPicPr>
        <xdr:cNvPr id="4" name="図 20">
          <a:extLst>
            <a:ext uri="{FF2B5EF4-FFF2-40B4-BE49-F238E27FC236}">
              <a16:creationId xmlns:a16="http://schemas.microsoft.com/office/drawing/2014/main" id="{27878B9F-C2D4-4CFD-91CC-CF4C27A6B3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8686" y="13602853"/>
          <a:ext cx="1693025" cy="119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683185</xdr:colOff>
      <xdr:row>75</xdr:row>
      <xdr:rowOff>161114</xdr:rowOff>
    </xdr:from>
    <xdr:to>
      <xdr:col>3</xdr:col>
      <xdr:colOff>767141</xdr:colOff>
      <xdr:row>82</xdr:row>
      <xdr:rowOff>36439</xdr:rowOff>
    </xdr:to>
    <xdr:pic>
      <xdr:nvPicPr>
        <xdr:cNvPr id="5" name="図 23">
          <a:extLst>
            <a:ext uri="{FF2B5EF4-FFF2-40B4-BE49-F238E27FC236}">
              <a16:creationId xmlns:a16="http://schemas.microsoft.com/office/drawing/2014/main" id="{0563E38C-1C0A-4FD8-927A-77B269572B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3260" y="12524564"/>
          <a:ext cx="2112781" cy="100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1690227</xdr:colOff>
      <xdr:row>80</xdr:row>
      <xdr:rowOff>106094</xdr:rowOff>
    </xdr:from>
    <xdr:to>
      <xdr:col>3</xdr:col>
      <xdr:colOff>704011</xdr:colOff>
      <xdr:row>84</xdr:row>
      <xdr:rowOff>42021</xdr:rowOff>
    </xdr:to>
    <xdr:pic>
      <xdr:nvPicPr>
        <xdr:cNvPr id="6" name="図 25">
          <a:extLst>
            <a:ext uri="{FF2B5EF4-FFF2-40B4-BE49-F238E27FC236}">
              <a16:creationId xmlns:a16="http://schemas.microsoft.com/office/drawing/2014/main" id="{6DB1C925-8441-4B6D-9E83-530EB5CA0C5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90302" y="13279169"/>
          <a:ext cx="1042609" cy="583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50801</xdr:colOff>
      <xdr:row>73</xdr:row>
      <xdr:rowOff>109146</xdr:rowOff>
    </xdr:from>
    <xdr:to>
      <xdr:col>2</xdr:col>
      <xdr:colOff>752375</xdr:colOff>
      <xdr:row>82</xdr:row>
      <xdr:rowOff>149678</xdr:rowOff>
    </xdr:to>
    <xdr:pic>
      <xdr:nvPicPr>
        <xdr:cNvPr id="7" name="図 27">
          <a:extLst>
            <a:ext uri="{FF2B5EF4-FFF2-40B4-BE49-F238E27FC236}">
              <a16:creationId xmlns:a16="http://schemas.microsoft.com/office/drawing/2014/main" id="{572E7668-E03A-4B65-8820-51C1043543D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801" y="12148746"/>
          <a:ext cx="1301649" cy="1497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185349</xdr:colOff>
      <xdr:row>76</xdr:row>
      <xdr:rowOff>162480</xdr:rowOff>
    </xdr:from>
    <xdr:to>
      <xdr:col>6</xdr:col>
      <xdr:colOff>397245</xdr:colOff>
      <xdr:row>84</xdr:row>
      <xdr:rowOff>53010</xdr:rowOff>
    </xdr:to>
    <xdr:pic>
      <xdr:nvPicPr>
        <xdr:cNvPr id="8" name="図 8415">
          <a:extLst>
            <a:ext uri="{FF2B5EF4-FFF2-40B4-BE49-F238E27FC236}">
              <a16:creationId xmlns:a16="http://schemas.microsoft.com/office/drawing/2014/main" id="{522D768B-A166-491E-BDBA-12200C58D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71699" y="12687855"/>
          <a:ext cx="1440621" cy="118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1048850</xdr:colOff>
      <xdr:row>76</xdr:row>
      <xdr:rowOff>150218</xdr:rowOff>
    </xdr:from>
    <xdr:to>
      <xdr:col>5</xdr:col>
      <xdr:colOff>40822</xdr:colOff>
      <xdr:row>83</xdr:row>
      <xdr:rowOff>160537</xdr:rowOff>
    </xdr:to>
    <xdr:pic>
      <xdr:nvPicPr>
        <xdr:cNvPr id="9" name="図 8417">
          <a:extLst>
            <a:ext uri="{FF2B5EF4-FFF2-40B4-BE49-F238E27FC236}">
              <a16:creationId xmlns:a16="http://schemas.microsoft.com/office/drawing/2014/main" id="{D747EDCD-213E-4E43-AFB7-34E040A0329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77750" y="12675593"/>
          <a:ext cx="1449422" cy="1143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775677</xdr:colOff>
      <xdr:row>77</xdr:row>
      <xdr:rowOff>67736</xdr:rowOff>
    </xdr:from>
    <xdr:to>
      <xdr:col>10</xdr:col>
      <xdr:colOff>245199</xdr:colOff>
      <xdr:row>82</xdr:row>
      <xdr:rowOff>37137</xdr:rowOff>
    </xdr:to>
    <xdr:pic>
      <xdr:nvPicPr>
        <xdr:cNvPr id="10" name="図 8419">
          <a:extLst>
            <a:ext uri="{FF2B5EF4-FFF2-40B4-BE49-F238E27FC236}">
              <a16:creationId xmlns:a16="http://schemas.microsoft.com/office/drawing/2014/main" id="{76DF58A5-EC40-4993-BC34-C08D9458015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090752" y="12755036"/>
          <a:ext cx="698247" cy="779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460762</xdr:colOff>
      <xdr:row>77</xdr:row>
      <xdr:rowOff>46271</xdr:rowOff>
    </xdr:from>
    <xdr:to>
      <xdr:col>28</xdr:col>
      <xdr:colOff>872048</xdr:colOff>
      <xdr:row>83</xdr:row>
      <xdr:rowOff>146424</xdr:rowOff>
    </xdr:to>
    <xdr:pic>
      <xdr:nvPicPr>
        <xdr:cNvPr id="11" name="図 8448">
          <a:extLst>
            <a:ext uri="{FF2B5EF4-FFF2-40B4-BE49-F238E27FC236}">
              <a16:creationId xmlns:a16="http://schemas.microsoft.com/office/drawing/2014/main" id="{9AE94937-79A6-4A27-99EC-7BA3B98665C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139287" y="12733571"/>
          <a:ext cx="1220911" cy="1071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201911</xdr:colOff>
      <xdr:row>0</xdr:row>
      <xdr:rowOff>0</xdr:rowOff>
    </xdr:from>
    <xdr:to>
      <xdr:col>28</xdr:col>
      <xdr:colOff>980167</xdr:colOff>
      <xdr:row>20</xdr:row>
      <xdr:rowOff>98354</xdr:rowOff>
    </xdr:to>
    <xdr:grpSp>
      <xdr:nvGrpSpPr>
        <xdr:cNvPr id="12" name="グループ化 8455">
          <a:extLst>
            <a:ext uri="{FF2B5EF4-FFF2-40B4-BE49-F238E27FC236}">
              <a16:creationId xmlns:a16="http://schemas.microsoft.com/office/drawing/2014/main" id="{E8A52088-B343-4583-A5DC-937C1AEF7C34}"/>
            </a:ext>
          </a:extLst>
        </xdr:cNvPr>
        <xdr:cNvGrpSpPr>
          <a:grpSpLocks/>
        </xdr:cNvGrpSpPr>
      </xdr:nvGrpSpPr>
      <xdr:grpSpPr bwMode="auto">
        <a:xfrm>
          <a:off x="798811" y="0"/>
          <a:ext cx="19713956" cy="3603554"/>
          <a:chOff x="613835" y="-95800"/>
          <a:chExt cx="21568823" cy="3438776"/>
        </a:xfrm>
      </xdr:grpSpPr>
      <xdr:pic>
        <xdr:nvPicPr>
          <xdr:cNvPr id="13" name="図 8450">
            <a:extLst>
              <a:ext uri="{FF2B5EF4-FFF2-40B4-BE49-F238E27FC236}">
                <a16:creationId xmlns:a16="http://schemas.microsoft.com/office/drawing/2014/main" id="{37C9151F-025D-460D-A059-AA09BD16B81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47998" y="2707566"/>
            <a:ext cx="433916" cy="635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4" name="グループ化 8454">
            <a:extLst>
              <a:ext uri="{FF2B5EF4-FFF2-40B4-BE49-F238E27FC236}">
                <a16:creationId xmlns:a16="http://schemas.microsoft.com/office/drawing/2014/main" id="{27E0FEDA-8132-4F9B-BFD8-83206461DD8A}"/>
              </a:ext>
            </a:extLst>
          </xdr:cNvPr>
          <xdr:cNvGrpSpPr>
            <a:grpSpLocks/>
          </xdr:cNvGrpSpPr>
        </xdr:nvGrpSpPr>
        <xdr:grpSpPr bwMode="auto">
          <a:xfrm>
            <a:off x="613835" y="-95800"/>
            <a:ext cx="21568823" cy="2692677"/>
            <a:chOff x="613835" y="-95800"/>
            <a:chExt cx="21568823" cy="2692677"/>
          </a:xfrm>
        </xdr:grpSpPr>
        <xdr:grpSp>
          <xdr:nvGrpSpPr>
            <xdr:cNvPr id="15" name="グループ化 8453">
              <a:extLst>
                <a:ext uri="{FF2B5EF4-FFF2-40B4-BE49-F238E27FC236}">
                  <a16:creationId xmlns:a16="http://schemas.microsoft.com/office/drawing/2014/main" id="{E082F53C-84CC-4509-B479-D7DF645C5D93}"/>
                </a:ext>
              </a:extLst>
            </xdr:cNvPr>
            <xdr:cNvGrpSpPr>
              <a:grpSpLocks/>
            </xdr:cNvGrpSpPr>
          </xdr:nvGrpSpPr>
          <xdr:grpSpPr bwMode="auto">
            <a:xfrm>
              <a:off x="613835" y="-34836"/>
              <a:ext cx="10178633" cy="1283540"/>
              <a:chOff x="613835" y="-34836"/>
              <a:chExt cx="10178633" cy="1283540"/>
            </a:xfrm>
          </xdr:grpSpPr>
          <xdr:pic>
            <xdr:nvPicPr>
              <xdr:cNvPr id="29" name="図 2">
                <a:extLst>
                  <a:ext uri="{FF2B5EF4-FFF2-40B4-BE49-F238E27FC236}">
                    <a16:creationId xmlns:a16="http://schemas.microsoft.com/office/drawing/2014/main" id="{FC86FE8D-3034-41E8-A553-1F298BE931A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79501" y="95250"/>
                <a:ext cx="1365250" cy="115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5">
                <a:extLst>
                  <a:ext uri="{FF2B5EF4-FFF2-40B4-BE49-F238E27FC236}">
                    <a16:creationId xmlns:a16="http://schemas.microsoft.com/office/drawing/2014/main" id="{0EDEDBF7-9AE4-4029-899A-238CA2BCF44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13835" y="31750"/>
                <a:ext cx="600398" cy="1005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7">
                <a:extLst>
                  <a:ext uri="{FF2B5EF4-FFF2-40B4-BE49-F238E27FC236}">
                    <a16:creationId xmlns:a16="http://schemas.microsoft.com/office/drawing/2014/main" id="{C8A3E267-462B-4C45-8134-6CA16D03F00B}"/>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88643" y="8158"/>
                <a:ext cx="1280584" cy="442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9">
                <a:extLst>
                  <a:ext uri="{FF2B5EF4-FFF2-40B4-BE49-F238E27FC236}">
                    <a16:creationId xmlns:a16="http://schemas.microsoft.com/office/drawing/2014/main" id="{0C0489EF-675C-4F43-9F77-6E2F99A432D4}"/>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233207" y="-25466"/>
                <a:ext cx="539750" cy="314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11">
                <a:extLst>
                  <a:ext uri="{FF2B5EF4-FFF2-40B4-BE49-F238E27FC236}">
                    <a16:creationId xmlns:a16="http://schemas.microsoft.com/office/drawing/2014/main" id="{3911E79C-2FCC-4C8E-A16F-5B22A9EA74C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209885" y="28003"/>
                <a:ext cx="793750" cy="456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13">
                <a:extLst>
                  <a:ext uri="{FF2B5EF4-FFF2-40B4-BE49-F238E27FC236}">
                    <a16:creationId xmlns:a16="http://schemas.microsoft.com/office/drawing/2014/main" id="{45E6CC40-8824-4151-ADE3-0E0AEAEDD84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229245" y="52255"/>
                <a:ext cx="645848" cy="358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15">
                <a:extLst>
                  <a:ext uri="{FF2B5EF4-FFF2-40B4-BE49-F238E27FC236}">
                    <a16:creationId xmlns:a16="http://schemas.microsoft.com/office/drawing/2014/main" id="{400AA754-91C9-4B26-80CE-61CAACD95434}"/>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80425" y="16868"/>
                <a:ext cx="613833" cy="307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17">
                <a:extLst>
                  <a:ext uri="{FF2B5EF4-FFF2-40B4-BE49-F238E27FC236}">
                    <a16:creationId xmlns:a16="http://schemas.microsoft.com/office/drawing/2014/main" id="{412E16CE-2BFD-4CAB-8959-44FFDE3E215F}"/>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44472" y="17419"/>
                <a:ext cx="571500" cy="453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19">
                <a:extLst>
                  <a:ext uri="{FF2B5EF4-FFF2-40B4-BE49-F238E27FC236}">
                    <a16:creationId xmlns:a16="http://schemas.microsoft.com/office/drawing/2014/main" id="{2EA0EB87-FCD7-4B8C-902E-97E0A4D97444}"/>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364079" y="17419"/>
                <a:ext cx="814916" cy="4677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21">
                <a:extLst>
                  <a:ext uri="{FF2B5EF4-FFF2-40B4-BE49-F238E27FC236}">
                    <a16:creationId xmlns:a16="http://schemas.microsoft.com/office/drawing/2014/main" id="{0346E8A7-82D5-456E-9D43-470DBF8F0AE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432635" y="-34836"/>
                <a:ext cx="359833" cy="348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6" name="図 8421">
              <a:extLst>
                <a:ext uri="{FF2B5EF4-FFF2-40B4-BE49-F238E27FC236}">
                  <a16:creationId xmlns:a16="http://schemas.microsoft.com/office/drawing/2014/main" id="{FDD27147-3E9D-49D7-8E11-4DDA6E4714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4355920" y="19294"/>
              <a:ext cx="381000" cy="329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8423">
              <a:extLst>
                <a:ext uri="{FF2B5EF4-FFF2-40B4-BE49-F238E27FC236}">
                  <a16:creationId xmlns:a16="http://schemas.microsoft.com/office/drawing/2014/main" id="{C2927D1C-1190-4362-9D2E-A8C6C6481801}"/>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7655397" y="6284"/>
              <a:ext cx="169333" cy="303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8425">
              <a:extLst>
                <a:ext uri="{FF2B5EF4-FFF2-40B4-BE49-F238E27FC236}">
                  <a16:creationId xmlns:a16="http://schemas.microsoft.com/office/drawing/2014/main" id="{5E71D7E1-7CC7-49F8-A911-FA74DDEA7655}"/>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5583830" y="-59092"/>
              <a:ext cx="349250" cy="400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8427">
              <a:extLst>
                <a:ext uri="{FF2B5EF4-FFF2-40B4-BE49-F238E27FC236}">
                  <a16:creationId xmlns:a16="http://schemas.microsoft.com/office/drawing/2014/main" id="{DBA4CAB5-D36C-4DC0-AE48-86528E46D642}"/>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9738869" y="-86430"/>
              <a:ext cx="211013" cy="359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8429">
              <a:extLst>
                <a:ext uri="{FF2B5EF4-FFF2-40B4-BE49-F238E27FC236}">
                  <a16:creationId xmlns:a16="http://schemas.microsoft.com/office/drawing/2014/main" id="{9D7D44CA-26F8-4A1D-9D33-4D71475CBFE5}"/>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21939243" y="-17418"/>
              <a:ext cx="243415" cy="451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8432">
              <a:extLst>
                <a:ext uri="{FF2B5EF4-FFF2-40B4-BE49-F238E27FC236}">
                  <a16:creationId xmlns:a16="http://schemas.microsoft.com/office/drawing/2014/main" id="{FD2543CB-8771-46D6-8111-647CEF82A22F}"/>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2045689" y="-45973"/>
              <a:ext cx="1701693" cy="1091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8436">
              <a:extLst>
                <a:ext uri="{FF2B5EF4-FFF2-40B4-BE49-F238E27FC236}">
                  <a16:creationId xmlns:a16="http://schemas.microsoft.com/office/drawing/2014/main" id="{8842D3C8-74DB-4252-B8D1-D3769D82735F}"/>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8052754" y="-78384"/>
              <a:ext cx="1375832" cy="46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8438">
              <a:extLst>
                <a:ext uri="{FF2B5EF4-FFF2-40B4-BE49-F238E27FC236}">
                  <a16:creationId xmlns:a16="http://schemas.microsoft.com/office/drawing/2014/main" id="{2674EC14-EBB6-4554-9915-8C327D1B6661}"/>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1148255" y="-87093"/>
              <a:ext cx="687916" cy="37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8440">
              <a:extLst>
                <a:ext uri="{FF2B5EF4-FFF2-40B4-BE49-F238E27FC236}">
                  <a16:creationId xmlns:a16="http://schemas.microsoft.com/office/drawing/2014/main" id="{36B5FFCC-B3F6-43BE-A3D5-67ADBCB2FF54}"/>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5002706" y="-95800"/>
              <a:ext cx="433917" cy="404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8442">
              <a:extLst>
                <a:ext uri="{FF2B5EF4-FFF2-40B4-BE49-F238E27FC236}">
                  <a16:creationId xmlns:a16="http://schemas.microsoft.com/office/drawing/2014/main" id="{AC5783A9-F510-4950-AA60-BCD110DFF06E}"/>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0468875" y="34945"/>
              <a:ext cx="529167" cy="258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8444">
              <a:extLst>
                <a:ext uri="{FF2B5EF4-FFF2-40B4-BE49-F238E27FC236}">
                  <a16:creationId xmlns:a16="http://schemas.microsoft.com/office/drawing/2014/main" id="{1A0F3A1A-008A-427A-B365-66C7A0FBF8D5}"/>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6946672" y="-42886"/>
              <a:ext cx="709083" cy="499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8446">
              <a:extLst>
                <a:ext uri="{FF2B5EF4-FFF2-40B4-BE49-F238E27FC236}">
                  <a16:creationId xmlns:a16="http://schemas.microsoft.com/office/drawing/2014/main" id="{01BE06F4-100B-472E-8D01-FA71D421DA9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6297481" y="-50379"/>
              <a:ext cx="433916" cy="367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8452">
              <a:extLst>
                <a:ext uri="{FF2B5EF4-FFF2-40B4-BE49-F238E27FC236}">
                  <a16:creationId xmlns:a16="http://schemas.microsoft.com/office/drawing/2014/main" id="{943CE9B6-20A8-46F8-A0DF-CCBEFE00C4A1}"/>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3685117" y="2242628"/>
              <a:ext cx="296301" cy="354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397828</xdr:colOff>
      <xdr:row>0</xdr:row>
      <xdr:rowOff>108857</xdr:rowOff>
    </xdr:from>
    <xdr:to>
      <xdr:col>4</xdr:col>
      <xdr:colOff>231319</xdr:colOff>
      <xdr:row>2</xdr:row>
      <xdr:rowOff>79993</xdr:rowOff>
    </xdr:to>
    <xdr:pic>
      <xdr:nvPicPr>
        <xdr:cNvPr id="2" name="図 5">
          <a:extLst>
            <a:ext uri="{FF2B5EF4-FFF2-40B4-BE49-F238E27FC236}">
              <a16:creationId xmlns:a16="http://schemas.microsoft.com/office/drawing/2014/main" id="{1752474D-216A-47EF-81C4-64BD47474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0928" y="108857"/>
          <a:ext cx="1176516" cy="1076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0</xdr:row>
      <xdr:rowOff>43532</xdr:rowOff>
    </xdr:from>
    <xdr:to>
      <xdr:col>16</xdr:col>
      <xdr:colOff>6804</xdr:colOff>
      <xdr:row>0</xdr:row>
      <xdr:rowOff>754311</xdr:rowOff>
    </xdr:to>
    <xdr:pic>
      <xdr:nvPicPr>
        <xdr:cNvPr id="3" name="図 7">
          <a:extLst>
            <a:ext uri="{FF2B5EF4-FFF2-40B4-BE49-F238E27FC236}">
              <a16:creationId xmlns:a16="http://schemas.microsoft.com/office/drawing/2014/main" id="{3C4433FC-38FC-4F95-9877-BD0A05465F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16450" y="43532"/>
          <a:ext cx="6804" cy="710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859650</xdr:colOff>
      <xdr:row>0</xdr:row>
      <xdr:rowOff>176893</xdr:rowOff>
    </xdr:from>
    <xdr:to>
      <xdr:col>11</xdr:col>
      <xdr:colOff>193439</xdr:colOff>
      <xdr:row>1</xdr:row>
      <xdr:rowOff>79741</xdr:rowOff>
    </xdr:to>
    <xdr:pic>
      <xdr:nvPicPr>
        <xdr:cNvPr id="4" name="図 8">
          <a:extLst>
            <a:ext uri="{FF2B5EF4-FFF2-40B4-BE49-F238E27FC236}">
              <a16:creationId xmlns:a16="http://schemas.microsoft.com/office/drawing/2014/main" id="{8416C5AD-0526-44AB-80B7-F2CB836B55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17950" y="176893"/>
          <a:ext cx="676814" cy="731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410697</xdr:colOff>
      <xdr:row>0</xdr:row>
      <xdr:rowOff>1</xdr:rowOff>
    </xdr:from>
    <xdr:to>
      <xdr:col>3</xdr:col>
      <xdr:colOff>191355</xdr:colOff>
      <xdr:row>2</xdr:row>
      <xdr:rowOff>68036</xdr:rowOff>
    </xdr:to>
    <xdr:pic>
      <xdr:nvPicPr>
        <xdr:cNvPr id="5" name="図 26">
          <a:extLst>
            <a:ext uri="{FF2B5EF4-FFF2-40B4-BE49-F238E27FC236}">
              <a16:creationId xmlns:a16="http://schemas.microsoft.com/office/drawing/2014/main" id="{B5724649-85B5-4C49-9F62-25BB74A618F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9411" y="1"/>
          <a:ext cx="1127765" cy="1170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224517</xdr:colOff>
      <xdr:row>0</xdr:row>
      <xdr:rowOff>4737</xdr:rowOff>
    </xdr:from>
    <xdr:to>
      <xdr:col>2</xdr:col>
      <xdr:colOff>368151</xdr:colOff>
      <xdr:row>1</xdr:row>
      <xdr:rowOff>186492</xdr:rowOff>
    </xdr:to>
    <xdr:pic>
      <xdr:nvPicPr>
        <xdr:cNvPr id="6" name="図 27">
          <a:extLst>
            <a:ext uri="{FF2B5EF4-FFF2-40B4-BE49-F238E27FC236}">
              <a16:creationId xmlns:a16="http://schemas.microsoft.com/office/drawing/2014/main" id="{07C618B9-7D9F-4955-A832-BAB7007AF0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7417" y="4737"/>
          <a:ext cx="400809" cy="1010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441192</xdr:colOff>
      <xdr:row>0</xdr:row>
      <xdr:rowOff>242385</xdr:rowOff>
    </xdr:from>
    <xdr:to>
      <xdr:col>4</xdr:col>
      <xdr:colOff>1051343</xdr:colOff>
      <xdr:row>0</xdr:row>
      <xdr:rowOff>776178</xdr:rowOff>
    </xdr:to>
    <xdr:pic>
      <xdr:nvPicPr>
        <xdr:cNvPr id="7" name="図 29">
          <a:extLst>
            <a:ext uri="{FF2B5EF4-FFF2-40B4-BE49-F238E27FC236}">
              <a16:creationId xmlns:a16="http://schemas.microsoft.com/office/drawing/2014/main" id="{05786B15-D19D-4B41-9432-4537317664F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27317" y="242385"/>
          <a:ext cx="610151" cy="533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1034142</xdr:colOff>
      <xdr:row>0</xdr:row>
      <xdr:rowOff>105216</xdr:rowOff>
    </xdr:from>
    <xdr:to>
      <xdr:col>6</xdr:col>
      <xdr:colOff>728150</xdr:colOff>
      <xdr:row>0</xdr:row>
      <xdr:rowOff>827449</xdr:rowOff>
    </xdr:to>
    <xdr:pic>
      <xdr:nvPicPr>
        <xdr:cNvPr id="8" name="図 30">
          <a:extLst>
            <a:ext uri="{FF2B5EF4-FFF2-40B4-BE49-F238E27FC236}">
              <a16:creationId xmlns:a16="http://schemas.microsoft.com/office/drawing/2014/main" id="{88DEC46A-7DEF-409A-B4C5-3DE84A20218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663292" y="105216"/>
          <a:ext cx="1037033" cy="722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47421</xdr:colOff>
      <xdr:row>0</xdr:row>
      <xdr:rowOff>131814</xdr:rowOff>
    </xdr:from>
    <xdr:to>
      <xdr:col>5</xdr:col>
      <xdr:colOff>840524</xdr:colOff>
      <xdr:row>0</xdr:row>
      <xdr:rowOff>793775</xdr:rowOff>
    </xdr:to>
    <xdr:pic>
      <xdr:nvPicPr>
        <xdr:cNvPr id="9" name="図 31">
          <a:extLst>
            <a:ext uri="{FF2B5EF4-FFF2-40B4-BE49-F238E27FC236}">
              <a16:creationId xmlns:a16="http://schemas.microsoft.com/office/drawing/2014/main" id="{DCCCA243-90FF-4514-A18E-9CE7BE7B0C41}"/>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76571" y="131814"/>
          <a:ext cx="793103" cy="66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997325</xdr:colOff>
      <xdr:row>0</xdr:row>
      <xdr:rowOff>214746</xdr:rowOff>
    </xdr:from>
    <xdr:to>
      <xdr:col>7</xdr:col>
      <xdr:colOff>476250</xdr:colOff>
      <xdr:row>0</xdr:row>
      <xdr:rowOff>804493</xdr:rowOff>
    </xdr:to>
    <xdr:pic>
      <xdr:nvPicPr>
        <xdr:cNvPr id="10" name="図 32">
          <a:extLst>
            <a:ext uri="{FF2B5EF4-FFF2-40B4-BE49-F238E27FC236}">
              <a16:creationId xmlns:a16="http://schemas.microsoft.com/office/drawing/2014/main" id="{C8CFCB30-497D-4F83-9895-3FA6AC32836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969500" y="214746"/>
          <a:ext cx="821950" cy="589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790410</xdr:colOff>
      <xdr:row>0</xdr:row>
      <xdr:rowOff>70924</xdr:rowOff>
    </xdr:from>
    <xdr:to>
      <xdr:col>8</xdr:col>
      <xdr:colOff>73190</xdr:colOff>
      <xdr:row>0</xdr:row>
      <xdr:rowOff>821704</xdr:rowOff>
    </xdr:to>
    <xdr:pic>
      <xdr:nvPicPr>
        <xdr:cNvPr id="11" name="図 33">
          <a:extLst>
            <a:ext uri="{FF2B5EF4-FFF2-40B4-BE49-F238E27FC236}">
              <a16:creationId xmlns:a16="http://schemas.microsoft.com/office/drawing/2014/main" id="{F0447F80-71FA-42B8-BD93-B24429002DC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105610" y="70924"/>
          <a:ext cx="625805" cy="750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220165</xdr:colOff>
      <xdr:row>0</xdr:row>
      <xdr:rowOff>27215</xdr:rowOff>
    </xdr:from>
    <xdr:to>
      <xdr:col>10</xdr:col>
      <xdr:colOff>498662</xdr:colOff>
      <xdr:row>0</xdr:row>
      <xdr:rowOff>783741</xdr:rowOff>
    </xdr:to>
    <xdr:pic>
      <xdr:nvPicPr>
        <xdr:cNvPr id="12" name="図 34">
          <a:extLst>
            <a:ext uri="{FF2B5EF4-FFF2-40B4-BE49-F238E27FC236}">
              <a16:creationId xmlns:a16="http://schemas.microsoft.com/office/drawing/2014/main" id="{28551895-9DDF-417D-8D91-4DA2BD22DFC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878390" y="27215"/>
          <a:ext cx="878572" cy="756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365495</xdr:colOff>
      <xdr:row>0</xdr:row>
      <xdr:rowOff>200323</xdr:rowOff>
    </xdr:from>
    <xdr:to>
      <xdr:col>11</xdr:col>
      <xdr:colOff>623258</xdr:colOff>
      <xdr:row>0</xdr:row>
      <xdr:rowOff>527363</xdr:rowOff>
    </xdr:to>
    <xdr:pic>
      <xdr:nvPicPr>
        <xdr:cNvPr id="13" name="図 13">
          <a:extLst>
            <a:ext uri="{FF2B5EF4-FFF2-40B4-BE49-F238E27FC236}">
              <a16:creationId xmlns:a16="http://schemas.microsoft.com/office/drawing/2014/main" id="{5DF66ECA-E195-411C-BDE8-5C5E0F7710D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966820" y="200323"/>
          <a:ext cx="257763" cy="32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606194</xdr:colOff>
      <xdr:row>0</xdr:row>
      <xdr:rowOff>296781</xdr:rowOff>
    </xdr:from>
    <xdr:to>
      <xdr:col>14</xdr:col>
      <xdr:colOff>772154</xdr:colOff>
      <xdr:row>0</xdr:row>
      <xdr:rowOff>740714</xdr:rowOff>
    </xdr:to>
    <xdr:pic>
      <xdr:nvPicPr>
        <xdr:cNvPr id="14" name="図 16">
          <a:extLst>
            <a:ext uri="{FF2B5EF4-FFF2-40B4-BE49-F238E27FC236}">
              <a16:creationId xmlns:a16="http://schemas.microsoft.com/office/drawing/2014/main" id="{6CAF4727-9476-4147-B229-0C82AA14EBA4}"/>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5236594" y="296781"/>
          <a:ext cx="165960" cy="443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802821</xdr:colOff>
      <xdr:row>0</xdr:row>
      <xdr:rowOff>217714</xdr:rowOff>
    </xdr:from>
    <xdr:to>
      <xdr:col>12</xdr:col>
      <xdr:colOff>818666</xdr:colOff>
      <xdr:row>3</xdr:row>
      <xdr:rowOff>38801</xdr:rowOff>
    </xdr:to>
    <xdr:pic>
      <xdr:nvPicPr>
        <xdr:cNvPr id="15" name="図 18">
          <a:extLst>
            <a:ext uri="{FF2B5EF4-FFF2-40B4-BE49-F238E27FC236}">
              <a16:creationId xmlns:a16="http://schemas.microsoft.com/office/drawing/2014/main" id="{5B805721-51E7-4584-9F00-0FE5E0FE56E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404146" y="217714"/>
          <a:ext cx="1358870" cy="109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258535</xdr:colOff>
      <xdr:row>0</xdr:row>
      <xdr:rowOff>0</xdr:rowOff>
    </xdr:from>
    <xdr:to>
      <xdr:col>14</xdr:col>
      <xdr:colOff>238417</xdr:colOff>
      <xdr:row>0</xdr:row>
      <xdr:rowOff>685602</xdr:rowOff>
    </xdr:to>
    <xdr:pic>
      <xdr:nvPicPr>
        <xdr:cNvPr id="16" name="図 19">
          <a:extLst>
            <a:ext uri="{FF2B5EF4-FFF2-40B4-BE49-F238E27FC236}">
              <a16:creationId xmlns:a16="http://schemas.microsoft.com/office/drawing/2014/main" id="{D4EBFDEA-FAEA-4F8D-AA4F-8CB8847B277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3545910" y="0"/>
          <a:ext cx="1322907" cy="685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1044036</xdr:colOff>
      <xdr:row>0</xdr:row>
      <xdr:rowOff>217030</xdr:rowOff>
    </xdr:from>
    <xdr:to>
      <xdr:col>13</xdr:col>
      <xdr:colOff>93546</xdr:colOff>
      <xdr:row>0</xdr:row>
      <xdr:rowOff>777600</xdr:rowOff>
    </xdr:to>
    <xdr:pic>
      <xdr:nvPicPr>
        <xdr:cNvPr id="17" name="図 21">
          <a:extLst>
            <a:ext uri="{FF2B5EF4-FFF2-40B4-BE49-F238E27FC236}">
              <a16:creationId xmlns:a16="http://schemas.microsoft.com/office/drawing/2014/main" id="{C43D3258-03EF-490C-A6F3-DE83D5476813}"/>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2988386" y="217030"/>
          <a:ext cx="392535" cy="56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1094599</xdr:colOff>
      <xdr:row>0</xdr:row>
      <xdr:rowOff>401379</xdr:rowOff>
    </xdr:from>
    <xdr:to>
      <xdr:col>15</xdr:col>
      <xdr:colOff>258536</xdr:colOff>
      <xdr:row>0</xdr:row>
      <xdr:rowOff>796471</xdr:rowOff>
    </xdr:to>
    <xdr:pic>
      <xdr:nvPicPr>
        <xdr:cNvPr id="18" name="図 22">
          <a:extLst>
            <a:ext uri="{FF2B5EF4-FFF2-40B4-BE49-F238E27FC236}">
              <a16:creationId xmlns:a16="http://schemas.microsoft.com/office/drawing/2014/main" id="{97F36777-E73A-4A82-BF42-A030D104D9FD}"/>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5724999" y="401379"/>
          <a:ext cx="506962" cy="395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435430</xdr:colOff>
      <xdr:row>0</xdr:row>
      <xdr:rowOff>143006</xdr:rowOff>
    </xdr:from>
    <xdr:to>
      <xdr:col>15</xdr:col>
      <xdr:colOff>1205094</xdr:colOff>
      <xdr:row>0</xdr:row>
      <xdr:rowOff>818100</xdr:rowOff>
    </xdr:to>
    <xdr:pic>
      <xdr:nvPicPr>
        <xdr:cNvPr id="19" name="図 24">
          <a:extLst>
            <a:ext uri="{FF2B5EF4-FFF2-40B4-BE49-F238E27FC236}">
              <a16:creationId xmlns:a16="http://schemas.microsoft.com/office/drawing/2014/main" id="{130A3903-FD9F-4A6E-B927-8E33681A622C}"/>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6408855" y="143006"/>
          <a:ext cx="769664" cy="675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30</xdr:row>
      <xdr:rowOff>127000</xdr:rowOff>
    </xdr:from>
    <xdr:to>
      <xdr:col>2</xdr:col>
      <xdr:colOff>1660525</xdr:colOff>
      <xdr:row>40</xdr:row>
      <xdr:rowOff>231775</xdr:rowOff>
    </xdr:to>
    <xdr:pic>
      <xdr:nvPicPr>
        <xdr:cNvPr id="4109" name="図 1">
          <a:extLst>
            <a:ext uri="{FF2B5EF4-FFF2-40B4-BE49-F238E27FC236}">
              <a16:creationId xmlns:a16="http://schemas.microsoft.com/office/drawing/2014/main" id="{0AF0385A-7ED3-487B-B903-89F923C11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600" y="8239125"/>
          <a:ext cx="3336925" cy="248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139700</xdr:colOff>
      <xdr:row>34</xdr:row>
      <xdr:rowOff>158750</xdr:rowOff>
    </xdr:from>
    <xdr:to>
      <xdr:col>2</xdr:col>
      <xdr:colOff>1711325</xdr:colOff>
      <xdr:row>44</xdr:row>
      <xdr:rowOff>225425</xdr:rowOff>
    </xdr:to>
    <xdr:pic>
      <xdr:nvPicPr>
        <xdr:cNvPr id="18444" name="図 2">
          <a:extLst>
            <a:ext uri="{FF2B5EF4-FFF2-40B4-BE49-F238E27FC236}">
              <a16:creationId xmlns:a16="http://schemas.microsoft.com/office/drawing/2014/main" id="{5166666C-A267-41D3-AC27-BBEC95C47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9223375"/>
          <a:ext cx="3603625"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F72AF-05DB-4ADE-9EAC-A0CF68514002}">
  <sheetPr>
    <pageSetUpPr fitToPage="1"/>
  </sheetPr>
  <dimension ref="A1:AC93"/>
  <sheetViews>
    <sheetView tabSelected="1" view="pageBreakPreview" topLeftCell="B1" zoomScale="75" zoomScaleNormal="100" zoomScaleSheetLayoutView="75" workbookViewId="0">
      <selection activeCell="B1" sqref="B1"/>
    </sheetView>
  </sheetViews>
  <sheetFormatPr defaultRowHeight="13.5" x14ac:dyDescent="0.15"/>
  <cols>
    <col min="1" max="1" width="4.5" style="104" bestFit="1" customWidth="1"/>
    <col min="2" max="2" width="3.375" style="103" bestFit="1" customWidth="1"/>
    <col min="3" max="3" width="26.625" style="103" customWidth="1"/>
    <col min="4" max="7" width="16.125" style="103" customWidth="1"/>
    <col min="8" max="8" width="5.125" style="273" hidden="1" customWidth="1"/>
    <col min="9" max="9" width="4.125" style="103" hidden="1" customWidth="1"/>
    <col min="10" max="10" width="10.625" style="103" hidden="1" customWidth="1"/>
    <col min="11" max="11" width="5.125" style="273" customWidth="1"/>
    <col min="12" max="12" width="4.125" style="103" bestFit="1" customWidth="1"/>
    <col min="13" max="13" width="10.625" style="103" customWidth="1"/>
    <col min="14" max="14" width="15.625" style="103" customWidth="1"/>
    <col min="15" max="15" width="2.375" style="103" customWidth="1"/>
    <col min="16" max="16" width="4.5" style="389" bestFit="1" customWidth="1"/>
    <col min="17" max="17" width="3.375" style="103" bestFit="1" customWidth="1"/>
    <col min="18" max="18" width="26.625" style="103" customWidth="1"/>
    <col min="19" max="22" width="16.125" style="103" customWidth="1"/>
    <col min="23" max="23" width="5.125" style="273" hidden="1" customWidth="1"/>
    <col min="24" max="24" width="4.125" style="103" hidden="1" customWidth="1"/>
    <col min="25" max="25" width="10.625" style="103" hidden="1" customWidth="1"/>
    <col min="26" max="26" width="5.125" style="273" customWidth="1"/>
    <col min="27" max="27" width="4.125" style="103" bestFit="1" customWidth="1"/>
    <col min="28" max="28" width="10.625" style="103" customWidth="1"/>
    <col min="29" max="29" width="15.625" style="103" customWidth="1"/>
    <col min="30" max="256" width="9" style="103"/>
    <col min="257" max="257" width="4.5" style="103" bestFit="1" customWidth="1"/>
    <col min="258" max="258" width="3.375" style="103" bestFit="1" customWidth="1"/>
    <col min="259" max="259" width="26.625" style="103" customWidth="1"/>
    <col min="260" max="263" width="16.125" style="103" customWidth="1"/>
    <col min="264" max="264" width="0" style="103" hidden="1" customWidth="1"/>
    <col min="265" max="265" width="5.125" style="103" customWidth="1"/>
    <col min="266" max="266" width="4.125" style="103" bestFit="1" customWidth="1"/>
    <col min="267" max="267" width="10.625" style="103" customWidth="1"/>
    <col min="268" max="268" width="5.125" style="103" customWidth="1"/>
    <col min="269" max="269" width="4.125" style="103" bestFit="1" customWidth="1"/>
    <col min="270" max="270" width="10.625" style="103" customWidth="1"/>
    <col min="271" max="271" width="2.375" style="103" customWidth="1"/>
    <col min="272" max="272" width="4.5" style="103" bestFit="1" customWidth="1"/>
    <col min="273" max="273" width="3.375" style="103" bestFit="1" customWidth="1"/>
    <col min="274" max="274" width="26.625" style="103" customWidth="1"/>
    <col min="275" max="278" width="16.125" style="103" customWidth="1"/>
    <col min="279" max="279" width="0" style="103" hidden="1" customWidth="1"/>
    <col min="280" max="280" width="5.125" style="103" customWidth="1"/>
    <col min="281" max="281" width="4.125" style="103" bestFit="1" customWidth="1"/>
    <col min="282" max="282" width="10.625" style="103" customWidth="1"/>
    <col min="283" max="283" width="5.125" style="103" customWidth="1"/>
    <col min="284" max="284" width="4.125" style="103" bestFit="1" customWidth="1"/>
    <col min="285" max="285" width="10.625" style="103" customWidth="1"/>
    <col min="286" max="512" width="9" style="103"/>
    <col min="513" max="513" width="4.5" style="103" bestFit="1" customWidth="1"/>
    <col min="514" max="514" width="3.375" style="103" bestFit="1" customWidth="1"/>
    <col min="515" max="515" width="26.625" style="103" customWidth="1"/>
    <col min="516" max="519" width="16.125" style="103" customWidth="1"/>
    <col min="520" max="520" width="0" style="103" hidden="1" customWidth="1"/>
    <col min="521" max="521" width="5.125" style="103" customWidth="1"/>
    <col min="522" max="522" width="4.125" style="103" bestFit="1" customWidth="1"/>
    <col min="523" max="523" width="10.625" style="103" customWidth="1"/>
    <col min="524" max="524" width="5.125" style="103" customWidth="1"/>
    <col min="525" max="525" width="4.125" style="103" bestFit="1" customWidth="1"/>
    <col min="526" max="526" width="10.625" style="103" customWidth="1"/>
    <col min="527" max="527" width="2.375" style="103" customWidth="1"/>
    <col min="528" max="528" width="4.5" style="103" bestFit="1" customWidth="1"/>
    <col min="529" max="529" width="3.375" style="103" bestFit="1" customWidth="1"/>
    <col min="530" max="530" width="26.625" style="103" customWidth="1"/>
    <col min="531" max="534" width="16.125" style="103" customWidth="1"/>
    <col min="535" max="535" width="0" style="103" hidden="1" customWidth="1"/>
    <col min="536" max="536" width="5.125" style="103" customWidth="1"/>
    <col min="537" max="537" width="4.125" style="103" bestFit="1" customWidth="1"/>
    <col min="538" max="538" width="10.625" style="103" customWidth="1"/>
    <col min="539" max="539" width="5.125" style="103" customWidth="1"/>
    <col min="540" max="540" width="4.125" style="103" bestFit="1" customWidth="1"/>
    <col min="541" max="541" width="10.625" style="103" customWidth="1"/>
    <col min="542" max="768" width="9" style="103"/>
    <col min="769" max="769" width="4.5" style="103" bestFit="1" customWidth="1"/>
    <col min="770" max="770" width="3.375" style="103" bestFit="1" customWidth="1"/>
    <col min="771" max="771" width="26.625" style="103" customWidth="1"/>
    <col min="772" max="775" width="16.125" style="103" customWidth="1"/>
    <col min="776" max="776" width="0" style="103" hidden="1" customWidth="1"/>
    <col min="777" max="777" width="5.125" style="103" customWidth="1"/>
    <col min="778" max="778" width="4.125" style="103" bestFit="1" customWidth="1"/>
    <col min="779" max="779" width="10.625" style="103" customWidth="1"/>
    <col min="780" max="780" width="5.125" style="103" customWidth="1"/>
    <col min="781" max="781" width="4.125" style="103" bestFit="1" customWidth="1"/>
    <col min="782" max="782" width="10.625" style="103" customWidth="1"/>
    <col min="783" max="783" width="2.375" style="103" customWidth="1"/>
    <col min="784" max="784" width="4.5" style="103" bestFit="1" customWidth="1"/>
    <col min="785" max="785" width="3.375" style="103" bestFit="1" customWidth="1"/>
    <col min="786" max="786" width="26.625" style="103" customWidth="1"/>
    <col min="787" max="790" width="16.125" style="103" customWidth="1"/>
    <col min="791" max="791" width="0" style="103" hidden="1" customWidth="1"/>
    <col min="792" max="792" width="5.125" style="103" customWidth="1"/>
    <col min="793" max="793" width="4.125" style="103" bestFit="1" customWidth="1"/>
    <col min="794" max="794" width="10.625" style="103" customWidth="1"/>
    <col min="795" max="795" width="5.125" style="103" customWidth="1"/>
    <col min="796" max="796" width="4.125" style="103" bestFit="1" customWidth="1"/>
    <col min="797" max="797" width="10.625" style="103" customWidth="1"/>
    <col min="798" max="1024" width="9" style="103"/>
    <col min="1025" max="1025" width="4.5" style="103" bestFit="1" customWidth="1"/>
    <col min="1026" max="1026" width="3.375" style="103" bestFit="1" customWidth="1"/>
    <col min="1027" max="1027" width="26.625" style="103" customWidth="1"/>
    <col min="1028" max="1031" width="16.125" style="103" customWidth="1"/>
    <col min="1032" max="1032" width="0" style="103" hidden="1" customWidth="1"/>
    <col min="1033" max="1033" width="5.125" style="103" customWidth="1"/>
    <col min="1034" max="1034" width="4.125" style="103" bestFit="1" customWidth="1"/>
    <col min="1035" max="1035" width="10.625" style="103" customWidth="1"/>
    <col min="1036" max="1036" width="5.125" style="103" customWidth="1"/>
    <col min="1037" max="1037" width="4.125" style="103" bestFit="1" customWidth="1"/>
    <col min="1038" max="1038" width="10.625" style="103" customWidth="1"/>
    <col min="1039" max="1039" width="2.375" style="103" customWidth="1"/>
    <col min="1040" max="1040" width="4.5" style="103" bestFit="1" customWidth="1"/>
    <col min="1041" max="1041" width="3.375" style="103" bestFit="1" customWidth="1"/>
    <col min="1042" max="1042" width="26.625" style="103" customWidth="1"/>
    <col min="1043" max="1046" width="16.125" style="103" customWidth="1"/>
    <col min="1047" max="1047" width="0" style="103" hidden="1" customWidth="1"/>
    <col min="1048" max="1048" width="5.125" style="103" customWidth="1"/>
    <col min="1049" max="1049" width="4.125" style="103" bestFit="1" customWidth="1"/>
    <col min="1050" max="1050" width="10.625" style="103" customWidth="1"/>
    <col min="1051" max="1051" width="5.125" style="103" customWidth="1"/>
    <col min="1052" max="1052" width="4.125" style="103" bestFit="1" customWidth="1"/>
    <col min="1053" max="1053" width="10.625" style="103" customWidth="1"/>
    <col min="1054" max="1280" width="9" style="103"/>
    <col min="1281" max="1281" width="4.5" style="103" bestFit="1" customWidth="1"/>
    <col min="1282" max="1282" width="3.375" style="103" bestFit="1" customWidth="1"/>
    <col min="1283" max="1283" width="26.625" style="103" customWidth="1"/>
    <col min="1284" max="1287" width="16.125" style="103" customWidth="1"/>
    <col min="1288" max="1288" width="0" style="103" hidden="1" customWidth="1"/>
    <col min="1289" max="1289" width="5.125" style="103" customWidth="1"/>
    <col min="1290" max="1290" width="4.125" style="103" bestFit="1" customWidth="1"/>
    <col min="1291" max="1291" width="10.625" style="103" customWidth="1"/>
    <col min="1292" max="1292" width="5.125" style="103" customWidth="1"/>
    <col min="1293" max="1293" width="4.125" style="103" bestFit="1" customWidth="1"/>
    <col min="1294" max="1294" width="10.625" style="103" customWidth="1"/>
    <col min="1295" max="1295" width="2.375" style="103" customWidth="1"/>
    <col min="1296" max="1296" width="4.5" style="103" bestFit="1" customWidth="1"/>
    <col min="1297" max="1297" width="3.375" style="103" bestFit="1" customWidth="1"/>
    <col min="1298" max="1298" width="26.625" style="103" customWidth="1"/>
    <col min="1299" max="1302" width="16.125" style="103" customWidth="1"/>
    <col min="1303" max="1303" width="0" style="103" hidden="1" customWidth="1"/>
    <col min="1304" max="1304" width="5.125" style="103" customWidth="1"/>
    <col min="1305" max="1305" width="4.125" style="103" bestFit="1" customWidth="1"/>
    <col min="1306" max="1306" width="10.625" style="103" customWidth="1"/>
    <col min="1307" max="1307" width="5.125" style="103" customWidth="1"/>
    <col min="1308" max="1308" width="4.125" style="103" bestFit="1" customWidth="1"/>
    <col min="1309" max="1309" width="10.625" style="103" customWidth="1"/>
    <col min="1310" max="1536" width="9" style="103"/>
    <col min="1537" max="1537" width="4.5" style="103" bestFit="1" customWidth="1"/>
    <col min="1538" max="1538" width="3.375" style="103" bestFit="1" customWidth="1"/>
    <col min="1539" max="1539" width="26.625" style="103" customWidth="1"/>
    <col min="1540" max="1543" width="16.125" style="103" customWidth="1"/>
    <col min="1544" max="1544" width="0" style="103" hidden="1" customWidth="1"/>
    <col min="1545" max="1545" width="5.125" style="103" customWidth="1"/>
    <col min="1546" max="1546" width="4.125" style="103" bestFit="1" customWidth="1"/>
    <col min="1547" max="1547" width="10.625" style="103" customWidth="1"/>
    <col min="1548" max="1548" width="5.125" style="103" customWidth="1"/>
    <col min="1549" max="1549" width="4.125" style="103" bestFit="1" customWidth="1"/>
    <col min="1550" max="1550" width="10.625" style="103" customWidth="1"/>
    <col min="1551" max="1551" width="2.375" style="103" customWidth="1"/>
    <col min="1552" max="1552" width="4.5" style="103" bestFit="1" customWidth="1"/>
    <col min="1553" max="1553" width="3.375" style="103" bestFit="1" customWidth="1"/>
    <col min="1554" max="1554" width="26.625" style="103" customWidth="1"/>
    <col min="1555" max="1558" width="16.125" style="103" customWidth="1"/>
    <col min="1559" max="1559" width="0" style="103" hidden="1" customWidth="1"/>
    <col min="1560" max="1560" width="5.125" style="103" customWidth="1"/>
    <col min="1561" max="1561" width="4.125" style="103" bestFit="1" customWidth="1"/>
    <col min="1562" max="1562" width="10.625" style="103" customWidth="1"/>
    <col min="1563" max="1563" width="5.125" style="103" customWidth="1"/>
    <col min="1564" max="1564" width="4.125" style="103" bestFit="1" customWidth="1"/>
    <col min="1565" max="1565" width="10.625" style="103" customWidth="1"/>
    <col min="1566" max="1792" width="9" style="103"/>
    <col min="1793" max="1793" width="4.5" style="103" bestFit="1" customWidth="1"/>
    <col min="1794" max="1794" width="3.375" style="103" bestFit="1" customWidth="1"/>
    <col min="1795" max="1795" width="26.625" style="103" customWidth="1"/>
    <col min="1796" max="1799" width="16.125" style="103" customWidth="1"/>
    <col min="1800" max="1800" width="0" style="103" hidden="1" customWidth="1"/>
    <col min="1801" max="1801" width="5.125" style="103" customWidth="1"/>
    <col min="1802" max="1802" width="4.125" style="103" bestFit="1" customWidth="1"/>
    <col min="1803" max="1803" width="10.625" style="103" customWidth="1"/>
    <col min="1804" max="1804" width="5.125" style="103" customWidth="1"/>
    <col min="1805" max="1805" width="4.125" style="103" bestFit="1" customWidth="1"/>
    <col min="1806" max="1806" width="10.625" style="103" customWidth="1"/>
    <col min="1807" max="1807" width="2.375" style="103" customWidth="1"/>
    <col min="1808" max="1808" width="4.5" style="103" bestFit="1" customWidth="1"/>
    <col min="1809" max="1809" width="3.375" style="103" bestFit="1" customWidth="1"/>
    <col min="1810" max="1810" width="26.625" style="103" customWidth="1"/>
    <col min="1811" max="1814" width="16.125" style="103" customWidth="1"/>
    <col min="1815" max="1815" width="0" style="103" hidden="1" customWidth="1"/>
    <col min="1816" max="1816" width="5.125" style="103" customWidth="1"/>
    <col min="1817" max="1817" width="4.125" style="103" bestFit="1" customWidth="1"/>
    <col min="1818" max="1818" width="10.625" style="103" customWidth="1"/>
    <col min="1819" max="1819" width="5.125" style="103" customWidth="1"/>
    <col min="1820" max="1820" width="4.125" style="103" bestFit="1" customWidth="1"/>
    <col min="1821" max="1821" width="10.625" style="103" customWidth="1"/>
    <col min="1822" max="2048" width="9" style="103"/>
    <col min="2049" max="2049" width="4.5" style="103" bestFit="1" customWidth="1"/>
    <col min="2050" max="2050" width="3.375" style="103" bestFit="1" customWidth="1"/>
    <col min="2051" max="2051" width="26.625" style="103" customWidth="1"/>
    <col min="2052" max="2055" width="16.125" style="103" customWidth="1"/>
    <col min="2056" max="2056" width="0" style="103" hidden="1" customWidth="1"/>
    <col min="2057" max="2057" width="5.125" style="103" customWidth="1"/>
    <col min="2058" max="2058" width="4.125" style="103" bestFit="1" customWidth="1"/>
    <col min="2059" max="2059" width="10.625" style="103" customWidth="1"/>
    <col min="2060" max="2060" width="5.125" style="103" customWidth="1"/>
    <col min="2061" max="2061" width="4.125" style="103" bestFit="1" customWidth="1"/>
    <col min="2062" max="2062" width="10.625" style="103" customWidth="1"/>
    <col min="2063" max="2063" width="2.375" style="103" customWidth="1"/>
    <col min="2064" max="2064" width="4.5" style="103" bestFit="1" customWidth="1"/>
    <col min="2065" max="2065" width="3.375" style="103" bestFit="1" customWidth="1"/>
    <col min="2066" max="2066" width="26.625" style="103" customWidth="1"/>
    <col min="2067" max="2070" width="16.125" style="103" customWidth="1"/>
    <col min="2071" max="2071" width="0" style="103" hidden="1" customWidth="1"/>
    <col min="2072" max="2072" width="5.125" style="103" customWidth="1"/>
    <col min="2073" max="2073" width="4.125" style="103" bestFit="1" customWidth="1"/>
    <col min="2074" max="2074" width="10.625" style="103" customWidth="1"/>
    <col min="2075" max="2075" width="5.125" style="103" customWidth="1"/>
    <col min="2076" max="2076" width="4.125" style="103" bestFit="1" customWidth="1"/>
    <col min="2077" max="2077" width="10.625" style="103" customWidth="1"/>
    <col min="2078" max="2304" width="9" style="103"/>
    <col min="2305" max="2305" width="4.5" style="103" bestFit="1" customWidth="1"/>
    <col min="2306" max="2306" width="3.375" style="103" bestFit="1" customWidth="1"/>
    <col min="2307" max="2307" width="26.625" style="103" customWidth="1"/>
    <col min="2308" max="2311" width="16.125" style="103" customWidth="1"/>
    <col min="2312" max="2312" width="0" style="103" hidden="1" customWidth="1"/>
    <col min="2313" max="2313" width="5.125" style="103" customWidth="1"/>
    <col min="2314" max="2314" width="4.125" style="103" bestFit="1" customWidth="1"/>
    <col min="2315" max="2315" width="10.625" style="103" customWidth="1"/>
    <col min="2316" max="2316" width="5.125" style="103" customWidth="1"/>
    <col min="2317" max="2317" width="4.125" style="103" bestFit="1" customWidth="1"/>
    <col min="2318" max="2318" width="10.625" style="103" customWidth="1"/>
    <col min="2319" max="2319" width="2.375" style="103" customWidth="1"/>
    <col min="2320" max="2320" width="4.5" style="103" bestFit="1" customWidth="1"/>
    <col min="2321" max="2321" width="3.375" style="103" bestFit="1" customWidth="1"/>
    <col min="2322" max="2322" width="26.625" style="103" customWidth="1"/>
    <col min="2323" max="2326" width="16.125" style="103" customWidth="1"/>
    <col min="2327" max="2327" width="0" style="103" hidden="1" customWidth="1"/>
    <col min="2328" max="2328" width="5.125" style="103" customWidth="1"/>
    <col min="2329" max="2329" width="4.125" style="103" bestFit="1" customWidth="1"/>
    <col min="2330" max="2330" width="10.625" style="103" customWidth="1"/>
    <col min="2331" max="2331" width="5.125" style="103" customWidth="1"/>
    <col min="2332" max="2332" width="4.125" style="103" bestFit="1" customWidth="1"/>
    <col min="2333" max="2333" width="10.625" style="103" customWidth="1"/>
    <col min="2334" max="2560" width="9" style="103"/>
    <col min="2561" max="2561" width="4.5" style="103" bestFit="1" customWidth="1"/>
    <col min="2562" max="2562" width="3.375" style="103" bestFit="1" customWidth="1"/>
    <col min="2563" max="2563" width="26.625" style="103" customWidth="1"/>
    <col min="2564" max="2567" width="16.125" style="103" customWidth="1"/>
    <col min="2568" max="2568" width="0" style="103" hidden="1" customWidth="1"/>
    <col min="2569" max="2569" width="5.125" style="103" customWidth="1"/>
    <col min="2570" max="2570" width="4.125" style="103" bestFit="1" customWidth="1"/>
    <col min="2571" max="2571" width="10.625" style="103" customWidth="1"/>
    <col min="2572" max="2572" width="5.125" style="103" customWidth="1"/>
    <col min="2573" max="2573" width="4.125" style="103" bestFit="1" customWidth="1"/>
    <col min="2574" max="2574" width="10.625" style="103" customWidth="1"/>
    <col min="2575" max="2575" width="2.375" style="103" customWidth="1"/>
    <col min="2576" max="2576" width="4.5" style="103" bestFit="1" customWidth="1"/>
    <col min="2577" max="2577" width="3.375" style="103" bestFit="1" customWidth="1"/>
    <col min="2578" max="2578" width="26.625" style="103" customWidth="1"/>
    <col min="2579" max="2582" width="16.125" style="103" customWidth="1"/>
    <col min="2583" max="2583" width="0" style="103" hidden="1" customWidth="1"/>
    <col min="2584" max="2584" width="5.125" style="103" customWidth="1"/>
    <col min="2585" max="2585" width="4.125" style="103" bestFit="1" customWidth="1"/>
    <col min="2586" max="2586" width="10.625" style="103" customWidth="1"/>
    <col min="2587" max="2587" width="5.125" style="103" customWidth="1"/>
    <col min="2588" max="2588" width="4.125" style="103" bestFit="1" customWidth="1"/>
    <col min="2589" max="2589" width="10.625" style="103" customWidth="1"/>
    <col min="2590" max="2816" width="9" style="103"/>
    <col min="2817" max="2817" width="4.5" style="103" bestFit="1" customWidth="1"/>
    <col min="2818" max="2818" width="3.375" style="103" bestFit="1" customWidth="1"/>
    <col min="2819" max="2819" width="26.625" style="103" customWidth="1"/>
    <col min="2820" max="2823" width="16.125" style="103" customWidth="1"/>
    <col min="2824" max="2824" width="0" style="103" hidden="1" customWidth="1"/>
    <col min="2825" max="2825" width="5.125" style="103" customWidth="1"/>
    <col min="2826" max="2826" width="4.125" style="103" bestFit="1" customWidth="1"/>
    <col min="2827" max="2827" width="10.625" style="103" customWidth="1"/>
    <col min="2828" max="2828" width="5.125" style="103" customWidth="1"/>
    <col min="2829" max="2829" width="4.125" style="103" bestFit="1" customWidth="1"/>
    <col min="2830" max="2830" width="10.625" style="103" customWidth="1"/>
    <col min="2831" max="2831" width="2.375" style="103" customWidth="1"/>
    <col min="2832" max="2832" width="4.5" style="103" bestFit="1" customWidth="1"/>
    <col min="2833" max="2833" width="3.375" style="103" bestFit="1" customWidth="1"/>
    <col min="2834" max="2834" width="26.625" style="103" customWidth="1"/>
    <col min="2835" max="2838" width="16.125" style="103" customWidth="1"/>
    <col min="2839" max="2839" width="0" style="103" hidden="1" customWidth="1"/>
    <col min="2840" max="2840" width="5.125" style="103" customWidth="1"/>
    <col min="2841" max="2841" width="4.125" style="103" bestFit="1" customWidth="1"/>
    <col min="2842" max="2842" width="10.625" style="103" customWidth="1"/>
    <col min="2843" max="2843" width="5.125" style="103" customWidth="1"/>
    <col min="2844" max="2844" width="4.125" style="103" bestFit="1" customWidth="1"/>
    <col min="2845" max="2845" width="10.625" style="103" customWidth="1"/>
    <col min="2846" max="3072" width="9" style="103"/>
    <col min="3073" max="3073" width="4.5" style="103" bestFit="1" customWidth="1"/>
    <col min="3074" max="3074" width="3.375" style="103" bestFit="1" customWidth="1"/>
    <col min="3075" max="3075" width="26.625" style="103" customWidth="1"/>
    <col min="3076" max="3079" width="16.125" style="103" customWidth="1"/>
    <col min="3080" max="3080" width="0" style="103" hidden="1" customWidth="1"/>
    <col min="3081" max="3081" width="5.125" style="103" customWidth="1"/>
    <col min="3082" max="3082" width="4.125" style="103" bestFit="1" customWidth="1"/>
    <col min="3083" max="3083" width="10.625" style="103" customWidth="1"/>
    <col min="3084" max="3084" width="5.125" style="103" customWidth="1"/>
    <col min="3085" max="3085" width="4.125" style="103" bestFit="1" customWidth="1"/>
    <col min="3086" max="3086" width="10.625" style="103" customWidth="1"/>
    <col min="3087" max="3087" width="2.375" style="103" customWidth="1"/>
    <col min="3088" max="3088" width="4.5" style="103" bestFit="1" customWidth="1"/>
    <col min="3089" max="3089" width="3.375" style="103" bestFit="1" customWidth="1"/>
    <col min="3090" max="3090" width="26.625" style="103" customWidth="1"/>
    <col min="3091" max="3094" width="16.125" style="103" customWidth="1"/>
    <col min="3095" max="3095" width="0" style="103" hidden="1" customWidth="1"/>
    <col min="3096" max="3096" width="5.125" style="103" customWidth="1"/>
    <col min="3097" max="3097" width="4.125" style="103" bestFit="1" customWidth="1"/>
    <col min="3098" max="3098" width="10.625" style="103" customWidth="1"/>
    <col min="3099" max="3099" width="5.125" style="103" customWidth="1"/>
    <col min="3100" max="3100" width="4.125" style="103" bestFit="1" customWidth="1"/>
    <col min="3101" max="3101" width="10.625" style="103" customWidth="1"/>
    <col min="3102" max="3328" width="9" style="103"/>
    <col min="3329" max="3329" width="4.5" style="103" bestFit="1" customWidth="1"/>
    <col min="3330" max="3330" width="3.375" style="103" bestFit="1" customWidth="1"/>
    <col min="3331" max="3331" width="26.625" style="103" customWidth="1"/>
    <col min="3332" max="3335" width="16.125" style="103" customWidth="1"/>
    <col min="3336" max="3336" width="0" style="103" hidden="1" customWidth="1"/>
    <col min="3337" max="3337" width="5.125" style="103" customWidth="1"/>
    <col min="3338" max="3338" width="4.125" style="103" bestFit="1" customWidth="1"/>
    <col min="3339" max="3339" width="10.625" style="103" customWidth="1"/>
    <col min="3340" max="3340" width="5.125" style="103" customWidth="1"/>
    <col min="3341" max="3341" width="4.125" style="103" bestFit="1" customWidth="1"/>
    <col min="3342" max="3342" width="10.625" style="103" customWidth="1"/>
    <col min="3343" max="3343" width="2.375" style="103" customWidth="1"/>
    <col min="3344" max="3344" width="4.5" style="103" bestFit="1" customWidth="1"/>
    <col min="3345" max="3345" width="3.375" style="103" bestFit="1" customWidth="1"/>
    <col min="3346" max="3346" width="26.625" style="103" customWidth="1"/>
    <col min="3347" max="3350" width="16.125" style="103" customWidth="1"/>
    <col min="3351" max="3351" width="0" style="103" hidden="1" customWidth="1"/>
    <col min="3352" max="3352" width="5.125" style="103" customWidth="1"/>
    <col min="3353" max="3353" width="4.125" style="103" bestFit="1" customWidth="1"/>
    <col min="3354" max="3354" width="10.625" style="103" customWidth="1"/>
    <col min="3355" max="3355" width="5.125" style="103" customWidth="1"/>
    <col min="3356" max="3356" width="4.125" style="103" bestFit="1" customWidth="1"/>
    <col min="3357" max="3357" width="10.625" style="103" customWidth="1"/>
    <col min="3358" max="3584" width="9" style="103"/>
    <col min="3585" max="3585" width="4.5" style="103" bestFit="1" customWidth="1"/>
    <col min="3586" max="3586" width="3.375" style="103" bestFit="1" customWidth="1"/>
    <col min="3587" max="3587" width="26.625" style="103" customWidth="1"/>
    <col min="3588" max="3591" width="16.125" style="103" customWidth="1"/>
    <col min="3592" max="3592" width="0" style="103" hidden="1" customWidth="1"/>
    <col min="3593" max="3593" width="5.125" style="103" customWidth="1"/>
    <col min="3594" max="3594" width="4.125" style="103" bestFit="1" customWidth="1"/>
    <col min="3595" max="3595" width="10.625" style="103" customWidth="1"/>
    <col min="3596" max="3596" width="5.125" style="103" customWidth="1"/>
    <col min="3597" max="3597" width="4.125" style="103" bestFit="1" customWidth="1"/>
    <col min="3598" max="3598" width="10.625" style="103" customWidth="1"/>
    <col min="3599" max="3599" width="2.375" style="103" customWidth="1"/>
    <col min="3600" max="3600" width="4.5" style="103" bestFit="1" customWidth="1"/>
    <col min="3601" max="3601" width="3.375" style="103" bestFit="1" customWidth="1"/>
    <col min="3602" max="3602" width="26.625" style="103" customWidth="1"/>
    <col min="3603" max="3606" width="16.125" style="103" customWidth="1"/>
    <col min="3607" max="3607" width="0" style="103" hidden="1" customWidth="1"/>
    <col min="3608" max="3608" width="5.125" style="103" customWidth="1"/>
    <col min="3609" max="3609" width="4.125" style="103" bestFit="1" customWidth="1"/>
    <col min="3610" max="3610" width="10.625" style="103" customWidth="1"/>
    <col min="3611" max="3611" width="5.125" style="103" customWidth="1"/>
    <col min="3612" max="3612" width="4.125" style="103" bestFit="1" customWidth="1"/>
    <col min="3613" max="3613" width="10.625" style="103" customWidth="1"/>
    <col min="3614" max="3840" width="9" style="103"/>
    <col min="3841" max="3841" width="4.5" style="103" bestFit="1" customWidth="1"/>
    <col min="3842" max="3842" width="3.375" style="103" bestFit="1" customWidth="1"/>
    <col min="3843" max="3843" width="26.625" style="103" customWidth="1"/>
    <col min="3844" max="3847" width="16.125" style="103" customWidth="1"/>
    <col min="3848" max="3848" width="0" style="103" hidden="1" customWidth="1"/>
    <col min="3849" max="3849" width="5.125" style="103" customWidth="1"/>
    <col min="3850" max="3850" width="4.125" style="103" bestFit="1" customWidth="1"/>
    <col min="3851" max="3851" width="10.625" style="103" customWidth="1"/>
    <col min="3852" max="3852" width="5.125" style="103" customWidth="1"/>
    <col min="3853" max="3853" width="4.125" style="103" bestFit="1" customWidth="1"/>
    <col min="3854" max="3854" width="10.625" style="103" customWidth="1"/>
    <col min="3855" max="3855" width="2.375" style="103" customWidth="1"/>
    <col min="3856" max="3856" width="4.5" style="103" bestFit="1" customWidth="1"/>
    <col min="3857" max="3857" width="3.375" style="103" bestFit="1" customWidth="1"/>
    <col min="3858" max="3858" width="26.625" style="103" customWidth="1"/>
    <col min="3859" max="3862" width="16.125" style="103" customWidth="1"/>
    <col min="3863" max="3863" width="0" style="103" hidden="1" customWidth="1"/>
    <col min="3864" max="3864" width="5.125" style="103" customWidth="1"/>
    <col min="3865" max="3865" width="4.125" style="103" bestFit="1" customWidth="1"/>
    <col min="3866" max="3866" width="10.625" style="103" customWidth="1"/>
    <col min="3867" max="3867" width="5.125" style="103" customWidth="1"/>
    <col min="3868" max="3868" width="4.125" style="103" bestFit="1" customWidth="1"/>
    <col min="3869" max="3869" width="10.625" style="103" customWidth="1"/>
    <col min="3870" max="4096" width="9" style="103"/>
    <col min="4097" max="4097" width="4.5" style="103" bestFit="1" customWidth="1"/>
    <col min="4098" max="4098" width="3.375" style="103" bestFit="1" customWidth="1"/>
    <col min="4099" max="4099" width="26.625" style="103" customWidth="1"/>
    <col min="4100" max="4103" width="16.125" style="103" customWidth="1"/>
    <col min="4104" max="4104" width="0" style="103" hidden="1" customWidth="1"/>
    <col min="4105" max="4105" width="5.125" style="103" customWidth="1"/>
    <col min="4106" max="4106" width="4.125" style="103" bestFit="1" customWidth="1"/>
    <col min="4107" max="4107" width="10.625" style="103" customWidth="1"/>
    <col min="4108" max="4108" width="5.125" style="103" customWidth="1"/>
    <col min="4109" max="4109" width="4.125" style="103" bestFit="1" customWidth="1"/>
    <col min="4110" max="4110" width="10.625" style="103" customWidth="1"/>
    <col min="4111" max="4111" width="2.375" style="103" customWidth="1"/>
    <col min="4112" max="4112" width="4.5" style="103" bestFit="1" customWidth="1"/>
    <col min="4113" max="4113" width="3.375" style="103" bestFit="1" customWidth="1"/>
    <col min="4114" max="4114" width="26.625" style="103" customWidth="1"/>
    <col min="4115" max="4118" width="16.125" style="103" customWidth="1"/>
    <col min="4119" max="4119" width="0" style="103" hidden="1" customWidth="1"/>
    <col min="4120" max="4120" width="5.125" style="103" customWidth="1"/>
    <col min="4121" max="4121" width="4.125" style="103" bestFit="1" customWidth="1"/>
    <col min="4122" max="4122" width="10.625" style="103" customWidth="1"/>
    <col min="4123" max="4123" width="5.125" style="103" customWidth="1"/>
    <col min="4124" max="4124" width="4.125" style="103" bestFit="1" customWidth="1"/>
    <col min="4125" max="4125" width="10.625" style="103" customWidth="1"/>
    <col min="4126" max="4352" width="9" style="103"/>
    <col min="4353" max="4353" width="4.5" style="103" bestFit="1" customWidth="1"/>
    <col min="4354" max="4354" width="3.375" style="103" bestFit="1" customWidth="1"/>
    <col min="4355" max="4355" width="26.625" style="103" customWidth="1"/>
    <col min="4356" max="4359" width="16.125" style="103" customWidth="1"/>
    <col min="4360" max="4360" width="0" style="103" hidden="1" customWidth="1"/>
    <col min="4361" max="4361" width="5.125" style="103" customWidth="1"/>
    <col min="4362" max="4362" width="4.125" style="103" bestFit="1" customWidth="1"/>
    <col min="4363" max="4363" width="10.625" style="103" customWidth="1"/>
    <col min="4364" max="4364" width="5.125" style="103" customWidth="1"/>
    <col min="4365" max="4365" width="4.125" style="103" bestFit="1" customWidth="1"/>
    <col min="4366" max="4366" width="10.625" style="103" customWidth="1"/>
    <col min="4367" max="4367" width="2.375" style="103" customWidth="1"/>
    <col min="4368" max="4368" width="4.5" style="103" bestFit="1" customWidth="1"/>
    <col min="4369" max="4369" width="3.375" style="103" bestFit="1" customWidth="1"/>
    <col min="4370" max="4370" width="26.625" style="103" customWidth="1"/>
    <col min="4371" max="4374" width="16.125" style="103" customWidth="1"/>
    <col min="4375" max="4375" width="0" style="103" hidden="1" customWidth="1"/>
    <col min="4376" max="4376" width="5.125" style="103" customWidth="1"/>
    <col min="4377" max="4377" width="4.125" style="103" bestFit="1" customWidth="1"/>
    <col min="4378" max="4378" width="10.625" style="103" customWidth="1"/>
    <col min="4379" max="4379" width="5.125" style="103" customWidth="1"/>
    <col min="4380" max="4380" width="4.125" style="103" bestFit="1" customWidth="1"/>
    <col min="4381" max="4381" width="10.625" style="103" customWidth="1"/>
    <col min="4382" max="4608" width="9" style="103"/>
    <col min="4609" max="4609" width="4.5" style="103" bestFit="1" customWidth="1"/>
    <col min="4610" max="4610" width="3.375" style="103" bestFit="1" customWidth="1"/>
    <col min="4611" max="4611" width="26.625" style="103" customWidth="1"/>
    <col min="4612" max="4615" width="16.125" style="103" customWidth="1"/>
    <col min="4616" max="4616" width="0" style="103" hidden="1" customWidth="1"/>
    <col min="4617" max="4617" width="5.125" style="103" customWidth="1"/>
    <col min="4618" max="4618" width="4.125" style="103" bestFit="1" customWidth="1"/>
    <col min="4619" max="4619" width="10.625" style="103" customWidth="1"/>
    <col min="4620" max="4620" width="5.125" style="103" customWidth="1"/>
    <col min="4621" max="4621" width="4.125" style="103" bestFit="1" customWidth="1"/>
    <col min="4622" max="4622" width="10.625" style="103" customWidth="1"/>
    <col min="4623" max="4623" width="2.375" style="103" customWidth="1"/>
    <col min="4624" max="4624" width="4.5" style="103" bestFit="1" customWidth="1"/>
    <col min="4625" max="4625" width="3.375" style="103" bestFit="1" customWidth="1"/>
    <col min="4626" max="4626" width="26.625" style="103" customWidth="1"/>
    <col min="4627" max="4630" width="16.125" style="103" customWidth="1"/>
    <col min="4631" max="4631" width="0" style="103" hidden="1" customWidth="1"/>
    <col min="4632" max="4632" width="5.125" style="103" customWidth="1"/>
    <col min="4633" max="4633" width="4.125" style="103" bestFit="1" customWidth="1"/>
    <col min="4634" max="4634" width="10.625" style="103" customWidth="1"/>
    <col min="4635" max="4635" width="5.125" style="103" customWidth="1"/>
    <col min="4636" max="4636" width="4.125" style="103" bestFit="1" customWidth="1"/>
    <col min="4637" max="4637" width="10.625" style="103" customWidth="1"/>
    <col min="4638" max="4864" width="9" style="103"/>
    <col min="4865" max="4865" width="4.5" style="103" bestFit="1" customWidth="1"/>
    <col min="4866" max="4866" width="3.375" style="103" bestFit="1" customWidth="1"/>
    <col min="4867" max="4867" width="26.625" style="103" customWidth="1"/>
    <col min="4868" max="4871" width="16.125" style="103" customWidth="1"/>
    <col min="4872" max="4872" width="0" style="103" hidden="1" customWidth="1"/>
    <col min="4873" max="4873" width="5.125" style="103" customWidth="1"/>
    <col min="4874" max="4874" width="4.125" style="103" bestFit="1" customWidth="1"/>
    <col min="4875" max="4875" width="10.625" style="103" customWidth="1"/>
    <col min="4876" max="4876" width="5.125" style="103" customWidth="1"/>
    <col min="4877" max="4877" width="4.125" style="103" bestFit="1" customWidth="1"/>
    <col min="4878" max="4878" width="10.625" style="103" customWidth="1"/>
    <col min="4879" max="4879" width="2.375" style="103" customWidth="1"/>
    <col min="4880" max="4880" width="4.5" style="103" bestFit="1" customWidth="1"/>
    <col min="4881" max="4881" width="3.375" style="103" bestFit="1" customWidth="1"/>
    <col min="4882" max="4882" width="26.625" style="103" customWidth="1"/>
    <col min="4883" max="4886" width="16.125" style="103" customWidth="1"/>
    <col min="4887" max="4887" width="0" style="103" hidden="1" customWidth="1"/>
    <col min="4888" max="4888" width="5.125" style="103" customWidth="1"/>
    <col min="4889" max="4889" width="4.125" style="103" bestFit="1" customWidth="1"/>
    <col min="4890" max="4890" width="10.625" style="103" customWidth="1"/>
    <col min="4891" max="4891" width="5.125" style="103" customWidth="1"/>
    <col min="4892" max="4892" width="4.125" style="103" bestFit="1" customWidth="1"/>
    <col min="4893" max="4893" width="10.625" style="103" customWidth="1"/>
    <col min="4894" max="5120" width="9" style="103"/>
    <col min="5121" max="5121" width="4.5" style="103" bestFit="1" customWidth="1"/>
    <col min="5122" max="5122" width="3.375" style="103" bestFit="1" customWidth="1"/>
    <col min="5123" max="5123" width="26.625" style="103" customWidth="1"/>
    <col min="5124" max="5127" width="16.125" style="103" customWidth="1"/>
    <col min="5128" max="5128" width="0" style="103" hidden="1" customWidth="1"/>
    <col min="5129" max="5129" width="5.125" style="103" customWidth="1"/>
    <col min="5130" max="5130" width="4.125" style="103" bestFit="1" customWidth="1"/>
    <col min="5131" max="5131" width="10.625" style="103" customWidth="1"/>
    <col min="5132" max="5132" width="5.125" style="103" customWidth="1"/>
    <col min="5133" max="5133" width="4.125" style="103" bestFit="1" customWidth="1"/>
    <col min="5134" max="5134" width="10.625" style="103" customWidth="1"/>
    <col min="5135" max="5135" width="2.375" style="103" customWidth="1"/>
    <col min="5136" max="5136" width="4.5" style="103" bestFit="1" customWidth="1"/>
    <col min="5137" max="5137" width="3.375" style="103" bestFit="1" customWidth="1"/>
    <col min="5138" max="5138" width="26.625" style="103" customWidth="1"/>
    <col min="5139" max="5142" width="16.125" style="103" customWidth="1"/>
    <col min="5143" max="5143" width="0" style="103" hidden="1" customWidth="1"/>
    <col min="5144" max="5144" width="5.125" style="103" customWidth="1"/>
    <col min="5145" max="5145" width="4.125" style="103" bestFit="1" customWidth="1"/>
    <col min="5146" max="5146" width="10.625" style="103" customWidth="1"/>
    <col min="5147" max="5147" width="5.125" style="103" customWidth="1"/>
    <col min="5148" max="5148" width="4.125" style="103" bestFit="1" customWidth="1"/>
    <col min="5149" max="5149" width="10.625" style="103" customWidth="1"/>
    <col min="5150" max="5376" width="9" style="103"/>
    <col min="5377" max="5377" width="4.5" style="103" bestFit="1" customWidth="1"/>
    <col min="5378" max="5378" width="3.375" style="103" bestFit="1" customWidth="1"/>
    <col min="5379" max="5379" width="26.625" style="103" customWidth="1"/>
    <col min="5380" max="5383" width="16.125" style="103" customWidth="1"/>
    <col min="5384" max="5384" width="0" style="103" hidden="1" customWidth="1"/>
    <col min="5385" max="5385" width="5.125" style="103" customWidth="1"/>
    <col min="5386" max="5386" width="4.125" style="103" bestFit="1" customWidth="1"/>
    <col min="5387" max="5387" width="10.625" style="103" customWidth="1"/>
    <col min="5388" max="5388" width="5.125" style="103" customWidth="1"/>
    <col min="5389" max="5389" width="4.125" style="103" bestFit="1" customWidth="1"/>
    <col min="5390" max="5390" width="10.625" style="103" customWidth="1"/>
    <col min="5391" max="5391" width="2.375" style="103" customWidth="1"/>
    <col min="5392" max="5392" width="4.5" style="103" bestFit="1" customWidth="1"/>
    <col min="5393" max="5393" width="3.375" style="103" bestFit="1" customWidth="1"/>
    <col min="5394" max="5394" width="26.625" style="103" customWidth="1"/>
    <col min="5395" max="5398" width="16.125" style="103" customWidth="1"/>
    <col min="5399" max="5399" width="0" style="103" hidden="1" customWidth="1"/>
    <col min="5400" max="5400" width="5.125" style="103" customWidth="1"/>
    <col min="5401" max="5401" width="4.125" style="103" bestFit="1" customWidth="1"/>
    <col min="5402" max="5402" width="10.625" style="103" customWidth="1"/>
    <col min="5403" max="5403" width="5.125" style="103" customWidth="1"/>
    <col min="5404" max="5404" width="4.125" style="103" bestFit="1" customWidth="1"/>
    <col min="5405" max="5405" width="10.625" style="103" customWidth="1"/>
    <col min="5406" max="5632" width="9" style="103"/>
    <col min="5633" max="5633" width="4.5" style="103" bestFit="1" customWidth="1"/>
    <col min="5634" max="5634" width="3.375" style="103" bestFit="1" customWidth="1"/>
    <col min="5635" max="5635" width="26.625" style="103" customWidth="1"/>
    <col min="5636" max="5639" width="16.125" style="103" customWidth="1"/>
    <col min="5640" max="5640" width="0" style="103" hidden="1" customWidth="1"/>
    <col min="5641" max="5641" width="5.125" style="103" customWidth="1"/>
    <col min="5642" max="5642" width="4.125" style="103" bestFit="1" customWidth="1"/>
    <col min="5643" max="5643" width="10.625" style="103" customWidth="1"/>
    <col min="5644" max="5644" width="5.125" style="103" customWidth="1"/>
    <col min="5645" max="5645" width="4.125" style="103" bestFit="1" customWidth="1"/>
    <col min="5646" max="5646" width="10.625" style="103" customWidth="1"/>
    <col min="5647" max="5647" width="2.375" style="103" customWidth="1"/>
    <col min="5648" max="5648" width="4.5" style="103" bestFit="1" customWidth="1"/>
    <col min="5649" max="5649" width="3.375" style="103" bestFit="1" customWidth="1"/>
    <col min="5650" max="5650" width="26.625" style="103" customWidth="1"/>
    <col min="5651" max="5654" width="16.125" style="103" customWidth="1"/>
    <col min="5655" max="5655" width="0" style="103" hidden="1" customWidth="1"/>
    <col min="5656" max="5656" width="5.125" style="103" customWidth="1"/>
    <col min="5657" max="5657" width="4.125" style="103" bestFit="1" customWidth="1"/>
    <col min="5658" max="5658" width="10.625" style="103" customWidth="1"/>
    <col min="5659" max="5659" width="5.125" style="103" customWidth="1"/>
    <col min="5660" max="5660" width="4.125" style="103" bestFit="1" customWidth="1"/>
    <col min="5661" max="5661" width="10.625" style="103" customWidth="1"/>
    <col min="5662" max="5888" width="9" style="103"/>
    <col min="5889" max="5889" width="4.5" style="103" bestFit="1" customWidth="1"/>
    <col min="5890" max="5890" width="3.375" style="103" bestFit="1" customWidth="1"/>
    <col min="5891" max="5891" width="26.625" style="103" customWidth="1"/>
    <col min="5892" max="5895" width="16.125" style="103" customWidth="1"/>
    <col min="5896" max="5896" width="0" style="103" hidden="1" customWidth="1"/>
    <col min="5897" max="5897" width="5.125" style="103" customWidth="1"/>
    <col min="5898" max="5898" width="4.125" style="103" bestFit="1" customWidth="1"/>
    <col min="5899" max="5899" width="10.625" style="103" customWidth="1"/>
    <col min="5900" max="5900" width="5.125" style="103" customWidth="1"/>
    <col min="5901" max="5901" width="4.125" style="103" bestFit="1" customWidth="1"/>
    <col min="5902" max="5902" width="10.625" style="103" customWidth="1"/>
    <col min="5903" max="5903" width="2.375" style="103" customWidth="1"/>
    <col min="5904" max="5904" width="4.5" style="103" bestFit="1" customWidth="1"/>
    <col min="5905" max="5905" width="3.375" style="103" bestFit="1" customWidth="1"/>
    <col min="5906" max="5906" width="26.625" style="103" customWidth="1"/>
    <col min="5907" max="5910" width="16.125" style="103" customWidth="1"/>
    <col min="5911" max="5911" width="0" style="103" hidden="1" customWidth="1"/>
    <col min="5912" max="5912" width="5.125" style="103" customWidth="1"/>
    <col min="5913" max="5913" width="4.125" style="103" bestFit="1" customWidth="1"/>
    <col min="5914" max="5914" width="10.625" style="103" customWidth="1"/>
    <col min="5915" max="5915" width="5.125" style="103" customWidth="1"/>
    <col min="5916" max="5916" width="4.125" style="103" bestFit="1" customWidth="1"/>
    <col min="5917" max="5917" width="10.625" style="103" customWidth="1"/>
    <col min="5918" max="6144" width="9" style="103"/>
    <col min="6145" max="6145" width="4.5" style="103" bestFit="1" customWidth="1"/>
    <col min="6146" max="6146" width="3.375" style="103" bestFit="1" customWidth="1"/>
    <col min="6147" max="6147" width="26.625" style="103" customWidth="1"/>
    <col min="6148" max="6151" width="16.125" style="103" customWidth="1"/>
    <col min="6152" max="6152" width="0" style="103" hidden="1" customWidth="1"/>
    <col min="6153" max="6153" width="5.125" style="103" customWidth="1"/>
    <col min="6154" max="6154" width="4.125" style="103" bestFit="1" customWidth="1"/>
    <col min="6155" max="6155" width="10.625" style="103" customWidth="1"/>
    <col min="6156" max="6156" width="5.125" style="103" customWidth="1"/>
    <col min="6157" max="6157" width="4.125" style="103" bestFit="1" customWidth="1"/>
    <col min="6158" max="6158" width="10.625" style="103" customWidth="1"/>
    <col min="6159" max="6159" width="2.375" style="103" customWidth="1"/>
    <col min="6160" max="6160" width="4.5" style="103" bestFit="1" customWidth="1"/>
    <col min="6161" max="6161" width="3.375" style="103" bestFit="1" customWidth="1"/>
    <col min="6162" max="6162" width="26.625" style="103" customWidth="1"/>
    <col min="6163" max="6166" width="16.125" style="103" customWidth="1"/>
    <col min="6167" max="6167" width="0" style="103" hidden="1" customWidth="1"/>
    <col min="6168" max="6168" width="5.125" style="103" customWidth="1"/>
    <col min="6169" max="6169" width="4.125" style="103" bestFit="1" customWidth="1"/>
    <col min="6170" max="6170" width="10.625" style="103" customWidth="1"/>
    <col min="6171" max="6171" width="5.125" style="103" customWidth="1"/>
    <col min="6172" max="6172" width="4.125" style="103" bestFit="1" customWidth="1"/>
    <col min="6173" max="6173" width="10.625" style="103" customWidth="1"/>
    <col min="6174" max="6400" width="9" style="103"/>
    <col min="6401" max="6401" width="4.5" style="103" bestFit="1" customWidth="1"/>
    <col min="6402" max="6402" width="3.375" style="103" bestFit="1" customWidth="1"/>
    <col min="6403" max="6403" width="26.625" style="103" customWidth="1"/>
    <col min="6404" max="6407" width="16.125" style="103" customWidth="1"/>
    <col min="6408" max="6408" width="0" style="103" hidden="1" customWidth="1"/>
    <col min="6409" max="6409" width="5.125" style="103" customWidth="1"/>
    <col min="6410" max="6410" width="4.125" style="103" bestFit="1" customWidth="1"/>
    <col min="6411" max="6411" width="10.625" style="103" customWidth="1"/>
    <col min="6412" max="6412" width="5.125" style="103" customWidth="1"/>
    <col min="6413" max="6413" width="4.125" style="103" bestFit="1" customWidth="1"/>
    <col min="6414" max="6414" width="10.625" style="103" customWidth="1"/>
    <col min="6415" max="6415" width="2.375" style="103" customWidth="1"/>
    <col min="6416" max="6416" width="4.5" style="103" bestFit="1" customWidth="1"/>
    <col min="6417" max="6417" width="3.375" style="103" bestFit="1" customWidth="1"/>
    <col min="6418" max="6418" width="26.625" style="103" customWidth="1"/>
    <col min="6419" max="6422" width="16.125" style="103" customWidth="1"/>
    <col min="6423" max="6423" width="0" style="103" hidden="1" customWidth="1"/>
    <col min="6424" max="6424" width="5.125" style="103" customWidth="1"/>
    <col min="6425" max="6425" width="4.125" style="103" bestFit="1" customWidth="1"/>
    <col min="6426" max="6426" width="10.625" style="103" customWidth="1"/>
    <col min="6427" max="6427" width="5.125" style="103" customWidth="1"/>
    <col min="6428" max="6428" width="4.125" style="103" bestFit="1" customWidth="1"/>
    <col min="6429" max="6429" width="10.625" style="103" customWidth="1"/>
    <col min="6430" max="6656" width="9" style="103"/>
    <col min="6657" max="6657" width="4.5" style="103" bestFit="1" customWidth="1"/>
    <col min="6658" max="6658" width="3.375" style="103" bestFit="1" customWidth="1"/>
    <col min="6659" max="6659" width="26.625" style="103" customWidth="1"/>
    <col min="6660" max="6663" width="16.125" style="103" customWidth="1"/>
    <col min="6664" max="6664" width="0" style="103" hidden="1" customWidth="1"/>
    <col min="6665" max="6665" width="5.125" style="103" customWidth="1"/>
    <col min="6666" max="6666" width="4.125" style="103" bestFit="1" customWidth="1"/>
    <col min="6667" max="6667" width="10.625" style="103" customWidth="1"/>
    <col min="6668" max="6668" width="5.125" style="103" customWidth="1"/>
    <col min="6669" max="6669" width="4.125" style="103" bestFit="1" customWidth="1"/>
    <col min="6670" max="6670" width="10.625" style="103" customWidth="1"/>
    <col min="6671" max="6671" width="2.375" style="103" customWidth="1"/>
    <col min="6672" max="6672" width="4.5" style="103" bestFit="1" customWidth="1"/>
    <col min="6673" max="6673" width="3.375" style="103" bestFit="1" customWidth="1"/>
    <col min="6674" max="6674" width="26.625" style="103" customWidth="1"/>
    <col min="6675" max="6678" width="16.125" style="103" customWidth="1"/>
    <col min="6679" max="6679" width="0" style="103" hidden="1" customWidth="1"/>
    <col min="6680" max="6680" width="5.125" style="103" customWidth="1"/>
    <col min="6681" max="6681" width="4.125" style="103" bestFit="1" customWidth="1"/>
    <col min="6682" max="6682" width="10.625" style="103" customWidth="1"/>
    <col min="6683" max="6683" width="5.125" style="103" customWidth="1"/>
    <col min="6684" max="6684" width="4.125" style="103" bestFit="1" customWidth="1"/>
    <col min="6685" max="6685" width="10.625" style="103" customWidth="1"/>
    <col min="6686" max="6912" width="9" style="103"/>
    <col min="6913" max="6913" width="4.5" style="103" bestFit="1" customWidth="1"/>
    <col min="6914" max="6914" width="3.375" style="103" bestFit="1" customWidth="1"/>
    <col min="6915" max="6915" width="26.625" style="103" customWidth="1"/>
    <col min="6916" max="6919" width="16.125" style="103" customWidth="1"/>
    <col min="6920" max="6920" width="0" style="103" hidden="1" customWidth="1"/>
    <col min="6921" max="6921" width="5.125" style="103" customWidth="1"/>
    <col min="6922" max="6922" width="4.125" style="103" bestFit="1" customWidth="1"/>
    <col min="6923" max="6923" width="10.625" style="103" customWidth="1"/>
    <col min="6924" max="6924" width="5.125" style="103" customWidth="1"/>
    <col min="6925" max="6925" width="4.125" style="103" bestFit="1" customWidth="1"/>
    <col min="6926" max="6926" width="10.625" style="103" customWidth="1"/>
    <col min="6927" max="6927" width="2.375" style="103" customWidth="1"/>
    <col min="6928" max="6928" width="4.5" style="103" bestFit="1" customWidth="1"/>
    <col min="6929" max="6929" width="3.375" style="103" bestFit="1" customWidth="1"/>
    <col min="6930" max="6930" width="26.625" style="103" customWidth="1"/>
    <col min="6931" max="6934" width="16.125" style="103" customWidth="1"/>
    <col min="6935" max="6935" width="0" style="103" hidden="1" customWidth="1"/>
    <col min="6936" max="6936" width="5.125" style="103" customWidth="1"/>
    <col min="6937" max="6937" width="4.125" style="103" bestFit="1" customWidth="1"/>
    <col min="6938" max="6938" width="10.625" style="103" customWidth="1"/>
    <col min="6939" max="6939" width="5.125" style="103" customWidth="1"/>
    <col min="6940" max="6940" width="4.125" style="103" bestFit="1" customWidth="1"/>
    <col min="6941" max="6941" width="10.625" style="103" customWidth="1"/>
    <col min="6942" max="7168" width="9" style="103"/>
    <col min="7169" max="7169" width="4.5" style="103" bestFit="1" customWidth="1"/>
    <col min="7170" max="7170" width="3.375" style="103" bestFit="1" customWidth="1"/>
    <col min="7171" max="7171" width="26.625" style="103" customWidth="1"/>
    <col min="7172" max="7175" width="16.125" style="103" customWidth="1"/>
    <col min="7176" max="7176" width="0" style="103" hidden="1" customWidth="1"/>
    <col min="7177" max="7177" width="5.125" style="103" customWidth="1"/>
    <col min="7178" max="7178" width="4.125" style="103" bestFit="1" customWidth="1"/>
    <col min="7179" max="7179" width="10.625" style="103" customWidth="1"/>
    <col min="7180" max="7180" width="5.125" style="103" customWidth="1"/>
    <col min="7181" max="7181" width="4.125" style="103" bestFit="1" customWidth="1"/>
    <col min="7182" max="7182" width="10.625" style="103" customWidth="1"/>
    <col min="7183" max="7183" width="2.375" style="103" customWidth="1"/>
    <col min="7184" max="7184" width="4.5" style="103" bestFit="1" customWidth="1"/>
    <col min="7185" max="7185" width="3.375" style="103" bestFit="1" customWidth="1"/>
    <col min="7186" max="7186" width="26.625" style="103" customWidth="1"/>
    <col min="7187" max="7190" width="16.125" style="103" customWidth="1"/>
    <col min="7191" max="7191" width="0" style="103" hidden="1" customWidth="1"/>
    <col min="7192" max="7192" width="5.125" style="103" customWidth="1"/>
    <col min="7193" max="7193" width="4.125" style="103" bestFit="1" customWidth="1"/>
    <col min="7194" max="7194" width="10.625" style="103" customWidth="1"/>
    <col min="7195" max="7195" width="5.125" style="103" customWidth="1"/>
    <col min="7196" max="7196" width="4.125" style="103" bestFit="1" customWidth="1"/>
    <col min="7197" max="7197" width="10.625" style="103" customWidth="1"/>
    <col min="7198" max="7424" width="9" style="103"/>
    <col min="7425" max="7425" width="4.5" style="103" bestFit="1" customWidth="1"/>
    <col min="7426" max="7426" width="3.375" style="103" bestFit="1" customWidth="1"/>
    <col min="7427" max="7427" width="26.625" style="103" customWidth="1"/>
    <col min="7428" max="7431" width="16.125" style="103" customWidth="1"/>
    <col min="7432" max="7432" width="0" style="103" hidden="1" customWidth="1"/>
    <col min="7433" max="7433" width="5.125" style="103" customWidth="1"/>
    <col min="7434" max="7434" width="4.125" style="103" bestFit="1" customWidth="1"/>
    <col min="7435" max="7435" width="10.625" style="103" customWidth="1"/>
    <col min="7436" max="7436" width="5.125" style="103" customWidth="1"/>
    <col min="7437" max="7437" width="4.125" style="103" bestFit="1" customWidth="1"/>
    <col min="7438" max="7438" width="10.625" style="103" customWidth="1"/>
    <col min="7439" max="7439" width="2.375" style="103" customWidth="1"/>
    <col min="7440" max="7440" width="4.5" style="103" bestFit="1" customWidth="1"/>
    <col min="7441" max="7441" width="3.375" style="103" bestFit="1" customWidth="1"/>
    <col min="7442" max="7442" width="26.625" style="103" customWidth="1"/>
    <col min="7443" max="7446" width="16.125" style="103" customWidth="1"/>
    <col min="7447" max="7447" width="0" style="103" hidden="1" customWidth="1"/>
    <col min="7448" max="7448" width="5.125" style="103" customWidth="1"/>
    <col min="7449" max="7449" width="4.125" style="103" bestFit="1" customWidth="1"/>
    <col min="7450" max="7450" width="10.625" style="103" customWidth="1"/>
    <col min="7451" max="7451" width="5.125" style="103" customWidth="1"/>
    <col min="7452" max="7452" width="4.125" style="103" bestFit="1" customWidth="1"/>
    <col min="7453" max="7453" width="10.625" style="103" customWidth="1"/>
    <col min="7454" max="7680" width="9" style="103"/>
    <col min="7681" max="7681" width="4.5" style="103" bestFit="1" customWidth="1"/>
    <col min="7682" max="7682" width="3.375" style="103" bestFit="1" customWidth="1"/>
    <col min="7683" max="7683" width="26.625" style="103" customWidth="1"/>
    <col min="7684" max="7687" width="16.125" style="103" customWidth="1"/>
    <col min="7688" max="7688" width="0" style="103" hidden="1" customWidth="1"/>
    <col min="7689" max="7689" width="5.125" style="103" customWidth="1"/>
    <col min="7690" max="7690" width="4.125" style="103" bestFit="1" customWidth="1"/>
    <col min="7691" max="7691" width="10.625" style="103" customWidth="1"/>
    <col min="7692" max="7692" width="5.125" style="103" customWidth="1"/>
    <col min="7693" max="7693" width="4.125" style="103" bestFit="1" customWidth="1"/>
    <col min="7694" max="7694" width="10.625" style="103" customWidth="1"/>
    <col min="7695" max="7695" width="2.375" style="103" customWidth="1"/>
    <col min="7696" max="7696" width="4.5" style="103" bestFit="1" customWidth="1"/>
    <col min="7697" max="7697" width="3.375" style="103" bestFit="1" customWidth="1"/>
    <col min="7698" max="7698" width="26.625" style="103" customWidth="1"/>
    <col min="7699" max="7702" width="16.125" style="103" customWidth="1"/>
    <col min="7703" max="7703" width="0" style="103" hidden="1" customWidth="1"/>
    <col min="7704" max="7704" width="5.125" style="103" customWidth="1"/>
    <col min="7705" max="7705" width="4.125" style="103" bestFit="1" customWidth="1"/>
    <col min="7706" max="7706" width="10.625" style="103" customWidth="1"/>
    <col min="7707" max="7707" width="5.125" style="103" customWidth="1"/>
    <col min="7708" max="7708" width="4.125" style="103" bestFit="1" customWidth="1"/>
    <col min="7709" max="7709" width="10.625" style="103" customWidth="1"/>
    <col min="7710" max="7936" width="9" style="103"/>
    <col min="7937" max="7937" width="4.5" style="103" bestFit="1" customWidth="1"/>
    <col min="7938" max="7938" width="3.375" style="103" bestFit="1" customWidth="1"/>
    <col min="7939" max="7939" width="26.625" style="103" customWidth="1"/>
    <col min="7940" max="7943" width="16.125" style="103" customWidth="1"/>
    <col min="7944" max="7944" width="0" style="103" hidden="1" customWidth="1"/>
    <col min="7945" max="7945" width="5.125" style="103" customWidth="1"/>
    <col min="7946" max="7946" width="4.125" style="103" bestFit="1" customWidth="1"/>
    <col min="7947" max="7947" width="10.625" style="103" customWidth="1"/>
    <col min="7948" max="7948" width="5.125" style="103" customWidth="1"/>
    <col min="7949" max="7949" width="4.125" style="103" bestFit="1" customWidth="1"/>
    <col min="7950" max="7950" width="10.625" style="103" customWidth="1"/>
    <col min="7951" max="7951" width="2.375" style="103" customWidth="1"/>
    <col min="7952" max="7952" width="4.5" style="103" bestFit="1" customWidth="1"/>
    <col min="7953" max="7953" width="3.375" style="103" bestFit="1" customWidth="1"/>
    <col min="7954" max="7954" width="26.625" style="103" customWidth="1"/>
    <col min="7955" max="7958" width="16.125" style="103" customWidth="1"/>
    <col min="7959" max="7959" width="0" style="103" hidden="1" customWidth="1"/>
    <col min="7960" max="7960" width="5.125" style="103" customWidth="1"/>
    <col min="7961" max="7961" width="4.125" style="103" bestFit="1" customWidth="1"/>
    <col min="7962" max="7962" width="10.625" style="103" customWidth="1"/>
    <col min="7963" max="7963" width="5.125" style="103" customWidth="1"/>
    <col min="7964" max="7964" width="4.125" style="103" bestFit="1" customWidth="1"/>
    <col min="7965" max="7965" width="10.625" style="103" customWidth="1"/>
    <col min="7966" max="8192" width="9" style="103"/>
    <col min="8193" max="8193" width="4.5" style="103" bestFit="1" customWidth="1"/>
    <col min="8194" max="8194" width="3.375" style="103" bestFit="1" customWidth="1"/>
    <col min="8195" max="8195" width="26.625" style="103" customWidth="1"/>
    <col min="8196" max="8199" width="16.125" style="103" customWidth="1"/>
    <col min="8200" max="8200" width="0" style="103" hidden="1" customWidth="1"/>
    <col min="8201" max="8201" width="5.125" style="103" customWidth="1"/>
    <col min="8202" max="8202" width="4.125" style="103" bestFit="1" customWidth="1"/>
    <col min="8203" max="8203" width="10.625" style="103" customWidth="1"/>
    <col min="8204" max="8204" width="5.125" style="103" customWidth="1"/>
    <col min="8205" max="8205" width="4.125" style="103" bestFit="1" customWidth="1"/>
    <col min="8206" max="8206" width="10.625" style="103" customWidth="1"/>
    <col min="8207" max="8207" width="2.375" style="103" customWidth="1"/>
    <col min="8208" max="8208" width="4.5" style="103" bestFit="1" customWidth="1"/>
    <col min="8209" max="8209" width="3.375" style="103" bestFit="1" customWidth="1"/>
    <col min="8210" max="8210" width="26.625" style="103" customWidth="1"/>
    <col min="8211" max="8214" width="16.125" style="103" customWidth="1"/>
    <col min="8215" max="8215" width="0" style="103" hidden="1" customWidth="1"/>
    <col min="8216" max="8216" width="5.125" style="103" customWidth="1"/>
    <col min="8217" max="8217" width="4.125" style="103" bestFit="1" customWidth="1"/>
    <col min="8218" max="8218" width="10.625" style="103" customWidth="1"/>
    <col min="8219" max="8219" width="5.125" style="103" customWidth="1"/>
    <col min="8220" max="8220" width="4.125" style="103" bestFit="1" customWidth="1"/>
    <col min="8221" max="8221" width="10.625" style="103" customWidth="1"/>
    <col min="8222" max="8448" width="9" style="103"/>
    <col min="8449" max="8449" width="4.5" style="103" bestFit="1" customWidth="1"/>
    <col min="8450" max="8450" width="3.375" style="103" bestFit="1" customWidth="1"/>
    <col min="8451" max="8451" width="26.625" style="103" customWidth="1"/>
    <col min="8452" max="8455" width="16.125" style="103" customWidth="1"/>
    <col min="8456" max="8456" width="0" style="103" hidden="1" customWidth="1"/>
    <col min="8457" max="8457" width="5.125" style="103" customWidth="1"/>
    <col min="8458" max="8458" width="4.125" style="103" bestFit="1" customWidth="1"/>
    <col min="8459" max="8459" width="10.625" style="103" customWidth="1"/>
    <col min="8460" max="8460" width="5.125" style="103" customWidth="1"/>
    <col min="8461" max="8461" width="4.125" style="103" bestFit="1" customWidth="1"/>
    <col min="8462" max="8462" width="10.625" style="103" customWidth="1"/>
    <col min="8463" max="8463" width="2.375" style="103" customWidth="1"/>
    <col min="8464" max="8464" width="4.5" style="103" bestFit="1" customWidth="1"/>
    <col min="8465" max="8465" width="3.375" style="103" bestFit="1" customWidth="1"/>
    <col min="8466" max="8466" width="26.625" style="103" customWidth="1"/>
    <col min="8467" max="8470" width="16.125" style="103" customWidth="1"/>
    <col min="8471" max="8471" width="0" style="103" hidden="1" customWidth="1"/>
    <col min="8472" max="8472" width="5.125" style="103" customWidth="1"/>
    <col min="8473" max="8473" width="4.125" style="103" bestFit="1" customWidth="1"/>
    <col min="8474" max="8474" width="10.625" style="103" customWidth="1"/>
    <col min="8475" max="8475" width="5.125" style="103" customWidth="1"/>
    <col min="8476" max="8476" width="4.125" style="103" bestFit="1" customWidth="1"/>
    <col min="8477" max="8477" width="10.625" style="103" customWidth="1"/>
    <col min="8478" max="8704" width="9" style="103"/>
    <col min="8705" max="8705" width="4.5" style="103" bestFit="1" customWidth="1"/>
    <col min="8706" max="8706" width="3.375" style="103" bestFit="1" customWidth="1"/>
    <col min="8707" max="8707" width="26.625" style="103" customWidth="1"/>
    <col min="8708" max="8711" width="16.125" style="103" customWidth="1"/>
    <col min="8712" max="8712" width="0" style="103" hidden="1" customWidth="1"/>
    <col min="8713" max="8713" width="5.125" style="103" customWidth="1"/>
    <col min="8714" max="8714" width="4.125" style="103" bestFit="1" customWidth="1"/>
    <col min="8715" max="8715" width="10.625" style="103" customWidth="1"/>
    <col min="8716" max="8716" width="5.125" style="103" customWidth="1"/>
    <col min="8717" max="8717" width="4.125" style="103" bestFit="1" customWidth="1"/>
    <col min="8718" max="8718" width="10.625" style="103" customWidth="1"/>
    <col min="8719" max="8719" width="2.375" style="103" customWidth="1"/>
    <col min="8720" max="8720" width="4.5" style="103" bestFit="1" customWidth="1"/>
    <col min="8721" max="8721" width="3.375" style="103" bestFit="1" customWidth="1"/>
    <col min="8722" max="8722" width="26.625" style="103" customWidth="1"/>
    <col min="8723" max="8726" width="16.125" style="103" customWidth="1"/>
    <col min="8727" max="8727" width="0" style="103" hidden="1" customWidth="1"/>
    <col min="8728" max="8728" width="5.125" style="103" customWidth="1"/>
    <col min="8729" max="8729" width="4.125" style="103" bestFit="1" customWidth="1"/>
    <col min="8730" max="8730" width="10.625" style="103" customWidth="1"/>
    <col min="8731" max="8731" width="5.125" style="103" customWidth="1"/>
    <col min="8732" max="8732" width="4.125" style="103" bestFit="1" customWidth="1"/>
    <col min="8733" max="8733" width="10.625" style="103" customWidth="1"/>
    <col min="8734" max="8960" width="9" style="103"/>
    <col min="8961" max="8961" width="4.5" style="103" bestFit="1" customWidth="1"/>
    <col min="8962" max="8962" width="3.375" style="103" bestFit="1" customWidth="1"/>
    <col min="8963" max="8963" width="26.625" style="103" customWidth="1"/>
    <col min="8964" max="8967" width="16.125" style="103" customWidth="1"/>
    <col min="8968" max="8968" width="0" style="103" hidden="1" customWidth="1"/>
    <col min="8969" max="8969" width="5.125" style="103" customWidth="1"/>
    <col min="8970" max="8970" width="4.125" style="103" bestFit="1" customWidth="1"/>
    <col min="8971" max="8971" width="10.625" style="103" customWidth="1"/>
    <col min="8972" max="8972" width="5.125" style="103" customWidth="1"/>
    <col min="8973" max="8973" width="4.125" style="103" bestFit="1" customWidth="1"/>
    <col min="8974" max="8974" width="10.625" style="103" customWidth="1"/>
    <col min="8975" max="8975" width="2.375" style="103" customWidth="1"/>
    <col min="8976" max="8976" width="4.5" style="103" bestFit="1" customWidth="1"/>
    <col min="8977" max="8977" width="3.375" style="103" bestFit="1" customWidth="1"/>
    <col min="8978" max="8978" width="26.625" style="103" customWidth="1"/>
    <col min="8979" max="8982" width="16.125" style="103" customWidth="1"/>
    <col min="8983" max="8983" width="0" style="103" hidden="1" customWidth="1"/>
    <col min="8984" max="8984" width="5.125" style="103" customWidth="1"/>
    <col min="8985" max="8985" width="4.125" style="103" bestFit="1" customWidth="1"/>
    <col min="8986" max="8986" width="10.625" style="103" customWidth="1"/>
    <col min="8987" max="8987" width="5.125" style="103" customWidth="1"/>
    <col min="8988" max="8988" width="4.125" style="103" bestFit="1" customWidth="1"/>
    <col min="8989" max="8989" width="10.625" style="103" customWidth="1"/>
    <col min="8990" max="9216" width="9" style="103"/>
    <col min="9217" max="9217" width="4.5" style="103" bestFit="1" customWidth="1"/>
    <col min="9218" max="9218" width="3.375" style="103" bestFit="1" customWidth="1"/>
    <col min="9219" max="9219" width="26.625" style="103" customWidth="1"/>
    <col min="9220" max="9223" width="16.125" style="103" customWidth="1"/>
    <col min="9224" max="9224" width="0" style="103" hidden="1" customWidth="1"/>
    <col min="9225" max="9225" width="5.125" style="103" customWidth="1"/>
    <col min="9226" max="9226" width="4.125" style="103" bestFit="1" customWidth="1"/>
    <col min="9227" max="9227" width="10.625" style="103" customWidth="1"/>
    <col min="9228" max="9228" width="5.125" style="103" customWidth="1"/>
    <col min="9229" max="9229" width="4.125" style="103" bestFit="1" customWidth="1"/>
    <col min="9230" max="9230" width="10.625" style="103" customWidth="1"/>
    <col min="9231" max="9231" width="2.375" style="103" customWidth="1"/>
    <col min="9232" max="9232" width="4.5" style="103" bestFit="1" customWidth="1"/>
    <col min="9233" max="9233" width="3.375" style="103" bestFit="1" customWidth="1"/>
    <col min="9234" max="9234" width="26.625" style="103" customWidth="1"/>
    <col min="9235" max="9238" width="16.125" style="103" customWidth="1"/>
    <col min="9239" max="9239" width="0" style="103" hidden="1" customWidth="1"/>
    <col min="9240" max="9240" width="5.125" style="103" customWidth="1"/>
    <col min="9241" max="9241" width="4.125" style="103" bestFit="1" customWidth="1"/>
    <col min="9242" max="9242" width="10.625" style="103" customWidth="1"/>
    <col min="9243" max="9243" width="5.125" style="103" customWidth="1"/>
    <col min="9244" max="9244" width="4.125" style="103" bestFit="1" customWidth="1"/>
    <col min="9245" max="9245" width="10.625" style="103" customWidth="1"/>
    <col min="9246" max="9472" width="9" style="103"/>
    <col min="9473" max="9473" width="4.5" style="103" bestFit="1" customWidth="1"/>
    <col min="9474" max="9474" width="3.375" style="103" bestFit="1" customWidth="1"/>
    <col min="9475" max="9475" width="26.625" style="103" customWidth="1"/>
    <col min="9476" max="9479" width="16.125" style="103" customWidth="1"/>
    <col min="9480" max="9480" width="0" style="103" hidden="1" customWidth="1"/>
    <col min="9481" max="9481" width="5.125" style="103" customWidth="1"/>
    <col min="9482" max="9482" width="4.125" style="103" bestFit="1" customWidth="1"/>
    <col min="9483" max="9483" width="10.625" style="103" customWidth="1"/>
    <col min="9484" max="9484" width="5.125" style="103" customWidth="1"/>
    <col min="9485" max="9485" width="4.125" style="103" bestFit="1" customWidth="1"/>
    <col min="9486" max="9486" width="10.625" style="103" customWidth="1"/>
    <col min="9487" max="9487" width="2.375" style="103" customWidth="1"/>
    <col min="9488" max="9488" width="4.5" style="103" bestFit="1" customWidth="1"/>
    <col min="9489" max="9489" width="3.375" style="103" bestFit="1" customWidth="1"/>
    <col min="9490" max="9490" width="26.625" style="103" customWidth="1"/>
    <col min="9491" max="9494" width="16.125" style="103" customWidth="1"/>
    <col min="9495" max="9495" width="0" style="103" hidden="1" customWidth="1"/>
    <col min="9496" max="9496" width="5.125" style="103" customWidth="1"/>
    <col min="9497" max="9497" width="4.125" style="103" bestFit="1" customWidth="1"/>
    <col min="9498" max="9498" width="10.625" style="103" customWidth="1"/>
    <col min="9499" max="9499" width="5.125" style="103" customWidth="1"/>
    <col min="9500" max="9500" width="4.125" style="103" bestFit="1" customWidth="1"/>
    <col min="9501" max="9501" width="10.625" style="103" customWidth="1"/>
    <col min="9502" max="9728" width="9" style="103"/>
    <col min="9729" max="9729" width="4.5" style="103" bestFit="1" customWidth="1"/>
    <col min="9730" max="9730" width="3.375" style="103" bestFit="1" customWidth="1"/>
    <col min="9731" max="9731" width="26.625" style="103" customWidth="1"/>
    <col min="9732" max="9735" width="16.125" style="103" customWidth="1"/>
    <col min="9736" max="9736" width="0" style="103" hidden="1" customWidth="1"/>
    <col min="9737" max="9737" width="5.125" style="103" customWidth="1"/>
    <col min="9738" max="9738" width="4.125" style="103" bestFit="1" customWidth="1"/>
    <col min="9739" max="9739" width="10.625" style="103" customWidth="1"/>
    <col min="9740" max="9740" width="5.125" style="103" customWidth="1"/>
    <col min="9741" max="9741" width="4.125" style="103" bestFit="1" customWidth="1"/>
    <col min="9742" max="9742" width="10.625" style="103" customWidth="1"/>
    <col min="9743" max="9743" width="2.375" style="103" customWidth="1"/>
    <col min="9744" max="9744" width="4.5" style="103" bestFit="1" customWidth="1"/>
    <col min="9745" max="9745" width="3.375" style="103" bestFit="1" customWidth="1"/>
    <col min="9746" max="9746" width="26.625" style="103" customWidth="1"/>
    <col min="9747" max="9750" width="16.125" style="103" customWidth="1"/>
    <col min="9751" max="9751" width="0" style="103" hidden="1" customWidth="1"/>
    <col min="9752" max="9752" width="5.125" style="103" customWidth="1"/>
    <col min="9753" max="9753" width="4.125" style="103" bestFit="1" customWidth="1"/>
    <col min="9754" max="9754" width="10.625" style="103" customWidth="1"/>
    <col min="9755" max="9755" width="5.125" style="103" customWidth="1"/>
    <col min="9756" max="9756" width="4.125" style="103" bestFit="1" customWidth="1"/>
    <col min="9757" max="9757" width="10.625" style="103" customWidth="1"/>
    <col min="9758" max="9984" width="9" style="103"/>
    <col min="9985" max="9985" width="4.5" style="103" bestFit="1" customWidth="1"/>
    <col min="9986" max="9986" width="3.375" style="103" bestFit="1" customWidth="1"/>
    <col min="9987" max="9987" width="26.625" style="103" customWidth="1"/>
    <col min="9988" max="9991" width="16.125" style="103" customWidth="1"/>
    <col min="9992" max="9992" width="0" style="103" hidden="1" customWidth="1"/>
    <col min="9993" max="9993" width="5.125" style="103" customWidth="1"/>
    <col min="9994" max="9994" width="4.125" style="103" bestFit="1" customWidth="1"/>
    <col min="9995" max="9995" width="10.625" style="103" customWidth="1"/>
    <col min="9996" max="9996" width="5.125" style="103" customWidth="1"/>
    <col min="9997" max="9997" width="4.125" style="103" bestFit="1" customWidth="1"/>
    <col min="9998" max="9998" width="10.625" style="103" customWidth="1"/>
    <col min="9999" max="9999" width="2.375" style="103" customWidth="1"/>
    <col min="10000" max="10000" width="4.5" style="103" bestFit="1" customWidth="1"/>
    <col min="10001" max="10001" width="3.375" style="103" bestFit="1" customWidth="1"/>
    <col min="10002" max="10002" width="26.625" style="103" customWidth="1"/>
    <col min="10003" max="10006" width="16.125" style="103" customWidth="1"/>
    <col min="10007" max="10007" width="0" style="103" hidden="1" customWidth="1"/>
    <col min="10008" max="10008" width="5.125" style="103" customWidth="1"/>
    <col min="10009" max="10009" width="4.125" style="103" bestFit="1" customWidth="1"/>
    <col min="10010" max="10010" width="10.625" style="103" customWidth="1"/>
    <col min="10011" max="10011" width="5.125" style="103" customWidth="1"/>
    <col min="10012" max="10012" width="4.125" style="103" bestFit="1" customWidth="1"/>
    <col min="10013" max="10013" width="10.625" style="103" customWidth="1"/>
    <col min="10014" max="10240" width="9" style="103"/>
    <col min="10241" max="10241" width="4.5" style="103" bestFit="1" customWidth="1"/>
    <col min="10242" max="10242" width="3.375" style="103" bestFit="1" customWidth="1"/>
    <col min="10243" max="10243" width="26.625" style="103" customWidth="1"/>
    <col min="10244" max="10247" width="16.125" style="103" customWidth="1"/>
    <col min="10248" max="10248" width="0" style="103" hidden="1" customWidth="1"/>
    <col min="10249" max="10249" width="5.125" style="103" customWidth="1"/>
    <col min="10250" max="10250" width="4.125" style="103" bestFit="1" customWidth="1"/>
    <col min="10251" max="10251" width="10.625" style="103" customWidth="1"/>
    <col min="10252" max="10252" width="5.125" style="103" customWidth="1"/>
    <col min="10253" max="10253" width="4.125" style="103" bestFit="1" customWidth="1"/>
    <col min="10254" max="10254" width="10.625" style="103" customWidth="1"/>
    <col min="10255" max="10255" width="2.375" style="103" customWidth="1"/>
    <col min="10256" max="10256" width="4.5" style="103" bestFit="1" customWidth="1"/>
    <col min="10257" max="10257" width="3.375" style="103" bestFit="1" customWidth="1"/>
    <col min="10258" max="10258" width="26.625" style="103" customWidth="1"/>
    <col min="10259" max="10262" width="16.125" style="103" customWidth="1"/>
    <col min="10263" max="10263" width="0" style="103" hidden="1" customWidth="1"/>
    <col min="10264" max="10264" width="5.125" style="103" customWidth="1"/>
    <col min="10265" max="10265" width="4.125" style="103" bestFit="1" customWidth="1"/>
    <col min="10266" max="10266" width="10.625" style="103" customWidth="1"/>
    <col min="10267" max="10267" width="5.125" style="103" customWidth="1"/>
    <col min="10268" max="10268" width="4.125" style="103" bestFit="1" customWidth="1"/>
    <col min="10269" max="10269" width="10.625" style="103" customWidth="1"/>
    <col min="10270" max="10496" width="9" style="103"/>
    <col min="10497" max="10497" width="4.5" style="103" bestFit="1" customWidth="1"/>
    <col min="10498" max="10498" width="3.375" style="103" bestFit="1" customWidth="1"/>
    <col min="10499" max="10499" width="26.625" style="103" customWidth="1"/>
    <col min="10500" max="10503" width="16.125" style="103" customWidth="1"/>
    <col min="10504" max="10504" width="0" style="103" hidden="1" customWidth="1"/>
    <col min="10505" max="10505" width="5.125" style="103" customWidth="1"/>
    <col min="10506" max="10506" width="4.125" style="103" bestFit="1" customWidth="1"/>
    <col min="10507" max="10507" width="10.625" style="103" customWidth="1"/>
    <col min="10508" max="10508" width="5.125" style="103" customWidth="1"/>
    <col min="10509" max="10509" width="4.125" style="103" bestFit="1" customWidth="1"/>
    <col min="10510" max="10510" width="10.625" style="103" customWidth="1"/>
    <col min="10511" max="10511" width="2.375" style="103" customWidth="1"/>
    <col min="10512" max="10512" width="4.5" style="103" bestFit="1" customWidth="1"/>
    <col min="10513" max="10513" width="3.375" style="103" bestFit="1" customWidth="1"/>
    <col min="10514" max="10514" width="26.625" style="103" customWidth="1"/>
    <col min="10515" max="10518" width="16.125" style="103" customWidth="1"/>
    <col min="10519" max="10519" width="0" style="103" hidden="1" customWidth="1"/>
    <col min="10520" max="10520" width="5.125" style="103" customWidth="1"/>
    <col min="10521" max="10521" width="4.125" style="103" bestFit="1" customWidth="1"/>
    <col min="10522" max="10522" width="10.625" style="103" customWidth="1"/>
    <col min="10523" max="10523" width="5.125" style="103" customWidth="1"/>
    <col min="10524" max="10524" width="4.125" style="103" bestFit="1" customWidth="1"/>
    <col min="10525" max="10525" width="10.625" style="103" customWidth="1"/>
    <col min="10526" max="10752" width="9" style="103"/>
    <col min="10753" max="10753" width="4.5" style="103" bestFit="1" customWidth="1"/>
    <col min="10754" max="10754" width="3.375" style="103" bestFit="1" customWidth="1"/>
    <col min="10755" max="10755" width="26.625" style="103" customWidth="1"/>
    <col min="10756" max="10759" width="16.125" style="103" customWidth="1"/>
    <col min="10760" max="10760" width="0" style="103" hidden="1" customWidth="1"/>
    <col min="10761" max="10761" width="5.125" style="103" customWidth="1"/>
    <col min="10762" max="10762" width="4.125" style="103" bestFit="1" customWidth="1"/>
    <col min="10763" max="10763" width="10.625" style="103" customWidth="1"/>
    <col min="10764" max="10764" width="5.125" style="103" customWidth="1"/>
    <col min="10765" max="10765" width="4.125" style="103" bestFit="1" customWidth="1"/>
    <col min="10766" max="10766" width="10.625" style="103" customWidth="1"/>
    <col min="10767" max="10767" width="2.375" style="103" customWidth="1"/>
    <col min="10768" max="10768" width="4.5" style="103" bestFit="1" customWidth="1"/>
    <col min="10769" max="10769" width="3.375" style="103" bestFit="1" customWidth="1"/>
    <col min="10770" max="10770" width="26.625" style="103" customWidth="1"/>
    <col min="10771" max="10774" width="16.125" style="103" customWidth="1"/>
    <col min="10775" max="10775" width="0" style="103" hidden="1" customWidth="1"/>
    <col min="10776" max="10776" width="5.125" style="103" customWidth="1"/>
    <col min="10777" max="10777" width="4.125" style="103" bestFit="1" customWidth="1"/>
    <col min="10778" max="10778" width="10.625" style="103" customWidth="1"/>
    <col min="10779" max="10779" width="5.125" style="103" customWidth="1"/>
    <col min="10780" max="10780" width="4.125" style="103" bestFit="1" customWidth="1"/>
    <col min="10781" max="10781" width="10.625" style="103" customWidth="1"/>
    <col min="10782" max="11008" width="9" style="103"/>
    <col min="11009" max="11009" width="4.5" style="103" bestFit="1" customWidth="1"/>
    <col min="11010" max="11010" width="3.375" style="103" bestFit="1" customWidth="1"/>
    <col min="11011" max="11011" width="26.625" style="103" customWidth="1"/>
    <col min="11012" max="11015" width="16.125" style="103" customWidth="1"/>
    <col min="11016" max="11016" width="0" style="103" hidden="1" customWidth="1"/>
    <col min="11017" max="11017" width="5.125" style="103" customWidth="1"/>
    <col min="11018" max="11018" width="4.125" style="103" bestFit="1" customWidth="1"/>
    <col min="11019" max="11019" width="10.625" style="103" customWidth="1"/>
    <col min="11020" max="11020" width="5.125" style="103" customWidth="1"/>
    <col min="11021" max="11021" width="4.125" style="103" bestFit="1" customWidth="1"/>
    <col min="11022" max="11022" width="10.625" style="103" customWidth="1"/>
    <col min="11023" max="11023" width="2.375" style="103" customWidth="1"/>
    <col min="11024" max="11024" width="4.5" style="103" bestFit="1" customWidth="1"/>
    <col min="11025" max="11025" width="3.375" style="103" bestFit="1" customWidth="1"/>
    <col min="11026" max="11026" width="26.625" style="103" customWidth="1"/>
    <col min="11027" max="11030" width="16.125" style="103" customWidth="1"/>
    <col min="11031" max="11031" width="0" style="103" hidden="1" customWidth="1"/>
    <col min="11032" max="11032" width="5.125" style="103" customWidth="1"/>
    <col min="11033" max="11033" width="4.125" style="103" bestFit="1" customWidth="1"/>
    <col min="11034" max="11034" width="10.625" style="103" customWidth="1"/>
    <col min="11035" max="11035" width="5.125" style="103" customWidth="1"/>
    <col min="11036" max="11036" width="4.125" style="103" bestFit="1" customWidth="1"/>
    <col min="11037" max="11037" width="10.625" style="103" customWidth="1"/>
    <col min="11038" max="11264" width="9" style="103"/>
    <col min="11265" max="11265" width="4.5" style="103" bestFit="1" customWidth="1"/>
    <col min="11266" max="11266" width="3.375" style="103" bestFit="1" customWidth="1"/>
    <col min="11267" max="11267" width="26.625" style="103" customWidth="1"/>
    <col min="11268" max="11271" width="16.125" style="103" customWidth="1"/>
    <col min="11272" max="11272" width="0" style="103" hidden="1" customWidth="1"/>
    <col min="11273" max="11273" width="5.125" style="103" customWidth="1"/>
    <col min="11274" max="11274" width="4.125" style="103" bestFit="1" customWidth="1"/>
    <col min="11275" max="11275" width="10.625" style="103" customWidth="1"/>
    <col min="11276" max="11276" width="5.125" style="103" customWidth="1"/>
    <col min="11277" max="11277" width="4.125" style="103" bestFit="1" customWidth="1"/>
    <col min="11278" max="11278" width="10.625" style="103" customWidth="1"/>
    <col min="11279" max="11279" width="2.375" style="103" customWidth="1"/>
    <col min="11280" max="11280" width="4.5" style="103" bestFit="1" customWidth="1"/>
    <col min="11281" max="11281" width="3.375" style="103" bestFit="1" customWidth="1"/>
    <col min="11282" max="11282" width="26.625" style="103" customWidth="1"/>
    <col min="11283" max="11286" width="16.125" style="103" customWidth="1"/>
    <col min="11287" max="11287" width="0" style="103" hidden="1" customWidth="1"/>
    <col min="11288" max="11288" width="5.125" style="103" customWidth="1"/>
    <col min="11289" max="11289" width="4.125" style="103" bestFit="1" customWidth="1"/>
    <col min="11290" max="11290" width="10.625" style="103" customWidth="1"/>
    <col min="11291" max="11291" width="5.125" style="103" customWidth="1"/>
    <col min="11292" max="11292" width="4.125" style="103" bestFit="1" customWidth="1"/>
    <col min="11293" max="11293" width="10.625" style="103" customWidth="1"/>
    <col min="11294" max="11520" width="9" style="103"/>
    <col min="11521" max="11521" width="4.5" style="103" bestFit="1" customWidth="1"/>
    <col min="11522" max="11522" width="3.375" style="103" bestFit="1" customWidth="1"/>
    <col min="11523" max="11523" width="26.625" style="103" customWidth="1"/>
    <col min="11524" max="11527" width="16.125" style="103" customWidth="1"/>
    <col min="11528" max="11528" width="0" style="103" hidden="1" customWidth="1"/>
    <col min="11529" max="11529" width="5.125" style="103" customWidth="1"/>
    <col min="11530" max="11530" width="4.125" style="103" bestFit="1" customWidth="1"/>
    <col min="11531" max="11531" width="10.625" style="103" customWidth="1"/>
    <col min="11532" max="11532" width="5.125" style="103" customWidth="1"/>
    <col min="11533" max="11533" width="4.125" style="103" bestFit="1" customWidth="1"/>
    <col min="11534" max="11534" width="10.625" style="103" customWidth="1"/>
    <col min="11535" max="11535" width="2.375" style="103" customWidth="1"/>
    <col min="11536" max="11536" width="4.5" style="103" bestFit="1" customWidth="1"/>
    <col min="11537" max="11537" width="3.375" style="103" bestFit="1" customWidth="1"/>
    <col min="11538" max="11538" width="26.625" style="103" customWidth="1"/>
    <col min="11539" max="11542" width="16.125" style="103" customWidth="1"/>
    <col min="11543" max="11543" width="0" style="103" hidden="1" customWidth="1"/>
    <col min="11544" max="11544" width="5.125" style="103" customWidth="1"/>
    <col min="11545" max="11545" width="4.125" style="103" bestFit="1" customWidth="1"/>
    <col min="11546" max="11546" width="10.625" style="103" customWidth="1"/>
    <col min="11547" max="11547" width="5.125" style="103" customWidth="1"/>
    <col min="11548" max="11548" width="4.125" style="103" bestFit="1" customWidth="1"/>
    <col min="11549" max="11549" width="10.625" style="103" customWidth="1"/>
    <col min="11550" max="11776" width="9" style="103"/>
    <col min="11777" max="11777" width="4.5" style="103" bestFit="1" customWidth="1"/>
    <col min="11778" max="11778" width="3.375" style="103" bestFit="1" customWidth="1"/>
    <col min="11779" max="11779" width="26.625" style="103" customWidth="1"/>
    <col min="11780" max="11783" width="16.125" style="103" customWidth="1"/>
    <col min="11784" max="11784" width="0" style="103" hidden="1" customWidth="1"/>
    <col min="11785" max="11785" width="5.125" style="103" customWidth="1"/>
    <col min="11786" max="11786" width="4.125" style="103" bestFit="1" customWidth="1"/>
    <col min="11787" max="11787" width="10.625" style="103" customWidth="1"/>
    <col min="11788" max="11788" width="5.125" style="103" customWidth="1"/>
    <col min="11789" max="11789" width="4.125" style="103" bestFit="1" customWidth="1"/>
    <col min="11790" max="11790" width="10.625" style="103" customWidth="1"/>
    <col min="11791" max="11791" width="2.375" style="103" customWidth="1"/>
    <col min="11792" max="11792" width="4.5" style="103" bestFit="1" customWidth="1"/>
    <col min="11793" max="11793" width="3.375" style="103" bestFit="1" customWidth="1"/>
    <col min="11794" max="11794" width="26.625" style="103" customWidth="1"/>
    <col min="11795" max="11798" width="16.125" style="103" customWidth="1"/>
    <col min="11799" max="11799" width="0" style="103" hidden="1" customWidth="1"/>
    <col min="11800" max="11800" width="5.125" style="103" customWidth="1"/>
    <col min="11801" max="11801" width="4.125" style="103" bestFit="1" customWidth="1"/>
    <col min="11802" max="11802" width="10.625" style="103" customWidth="1"/>
    <col min="11803" max="11803" width="5.125" style="103" customWidth="1"/>
    <col min="11804" max="11804" width="4.125" style="103" bestFit="1" customWidth="1"/>
    <col min="11805" max="11805" width="10.625" style="103" customWidth="1"/>
    <col min="11806" max="12032" width="9" style="103"/>
    <col min="12033" max="12033" width="4.5" style="103" bestFit="1" customWidth="1"/>
    <col min="12034" max="12034" width="3.375" style="103" bestFit="1" customWidth="1"/>
    <col min="12035" max="12035" width="26.625" style="103" customWidth="1"/>
    <col min="12036" max="12039" width="16.125" style="103" customWidth="1"/>
    <col min="12040" max="12040" width="0" style="103" hidden="1" customWidth="1"/>
    <col min="12041" max="12041" width="5.125" style="103" customWidth="1"/>
    <col min="12042" max="12042" width="4.125" style="103" bestFit="1" customWidth="1"/>
    <col min="12043" max="12043" width="10.625" style="103" customWidth="1"/>
    <col min="12044" max="12044" width="5.125" style="103" customWidth="1"/>
    <col min="12045" max="12045" width="4.125" style="103" bestFit="1" customWidth="1"/>
    <col min="12046" max="12046" width="10.625" style="103" customWidth="1"/>
    <col min="12047" max="12047" width="2.375" style="103" customWidth="1"/>
    <col min="12048" max="12048" width="4.5" style="103" bestFit="1" customWidth="1"/>
    <col min="12049" max="12049" width="3.375" style="103" bestFit="1" customWidth="1"/>
    <col min="12050" max="12050" width="26.625" style="103" customWidth="1"/>
    <col min="12051" max="12054" width="16.125" style="103" customWidth="1"/>
    <col min="12055" max="12055" width="0" style="103" hidden="1" customWidth="1"/>
    <col min="12056" max="12056" width="5.125" style="103" customWidth="1"/>
    <col min="12057" max="12057" width="4.125" style="103" bestFit="1" customWidth="1"/>
    <col min="12058" max="12058" width="10.625" style="103" customWidth="1"/>
    <col min="12059" max="12059" width="5.125" style="103" customWidth="1"/>
    <col min="12060" max="12060" width="4.125" style="103" bestFit="1" customWidth="1"/>
    <col min="12061" max="12061" width="10.625" style="103" customWidth="1"/>
    <col min="12062" max="12288" width="9" style="103"/>
    <col min="12289" max="12289" width="4.5" style="103" bestFit="1" customWidth="1"/>
    <col min="12290" max="12290" width="3.375" style="103" bestFit="1" customWidth="1"/>
    <col min="12291" max="12291" width="26.625" style="103" customWidth="1"/>
    <col min="12292" max="12295" width="16.125" style="103" customWidth="1"/>
    <col min="12296" max="12296" width="0" style="103" hidden="1" customWidth="1"/>
    <col min="12297" max="12297" width="5.125" style="103" customWidth="1"/>
    <col min="12298" max="12298" width="4.125" style="103" bestFit="1" customWidth="1"/>
    <col min="12299" max="12299" width="10.625" style="103" customWidth="1"/>
    <col min="12300" max="12300" width="5.125" style="103" customWidth="1"/>
    <col min="12301" max="12301" width="4.125" style="103" bestFit="1" customWidth="1"/>
    <col min="12302" max="12302" width="10.625" style="103" customWidth="1"/>
    <col min="12303" max="12303" width="2.375" style="103" customWidth="1"/>
    <col min="12304" max="12304" width="4.5" style="103" bestFit="1" customWidth="1"/>
    <col min="12305" max="12305" width="3.375" style="103" bestFit="1" customWidth="1"/>
    <col min="12306" max="12306" width="26.625" style="103" customWidth="1"/>
    <col min="12307" max="12310" width="16.125" style="103" customWidth="1"/>
    <col min="12311" max="12311" width="0" style="103" hidden="1" customWidth="1"/>
    <col min="12312" max="12312" width="5.125" style="103" customWidth="1"/>
    <col min="12313" max="12313" width="4.125" style="103" bestFit="1" customWidth="1"/>
    <col min="12314" max="12314" width="10.625" style="103" customWidth="1"/>
    <col min="12315" max="12315" width="5.125" style="103" customWidth="1"/>
    <col min="12316" max="12316" width="4.125" style="103" bestFit="1" customWidth="1"/>
    <col min="12317" max="12317" width="10.625" style="103" customWidth="1"/>
    <col min="12318" max="12544" width="9" style="103"/>
    <col min="12545" max="12545" width="4.5" style="103" bestFit="1" customWidth="1"/>
    <col min="12546" max="12546" width="3.375" style="103" bestFit="1" customWidth="1"/>
    <col min="12547" max="12547" width="26.625" style="103" customWidth="1"/>
    <col min="12548" max="12551" width="16.125" style="103" customWidth="1"/>
    <col min="12552" max="12552" width="0" style="103" hidden="1" customWidth="1"/>
    <col min="12553" max="12553" width="5.125" style="103" customWidth="1"/>
    <col min="12554" max="12554" width="4.125" style="103" bestFit="1" customWidth="1"/>
    <col min="12555" max="12555" width="10.625" style="103" customWidth="1"/>
    <col min="12556" max="12556" width="5.125" style="103" customWidth="1"/>
    <col min="12557" max="12557" width="4.125" style="103" bestFit="1" customWidth="1"/>
    <col min="12558" max="12558" width="10.625" style="103" customWidth="1"/>
    <col min="12559" max="12559" width="2.375" style="103" customWidth="1"/>
    <col min="12560" max="12560" width="4.5" style="103" bestFit="1" customWidth="1"/>
    <col min="12561" max="12561" width="3.375" style="103" bestFit="1" customWidth="1"/>
    <col min="12562" max="12562" width="26.625" style="103" customWidth="1"/>
    <col min="12563" max="12566" width="16.125" style="103" customWidth="1"/>
    <col min="12567" max="12567" width="0" style="103" hidden="1" customWidth="1"/>
    <col min="12568" max="12568" width="5.125" style="103" customWidth="1"/>
    <col min="12569" max="12569" width="4.125" style="103" bestFit="1" customWidth="1"/>
    <col min="12570" max="12570" width="10.625" style="103" customWidth="1"/>
    <col min="12571" max="12571" width="5.125" style="103" customWidth="1"/>
    <col min="12572" max="12572" width="4.125" style="103" bestFit="1" customWidth="1"/>
    <col min="12573" max="12573" width="10.625" style="103" customWidth="1"/>
    <col min="12574" max="12800" width="9" style="103"/>
    <col min="12801" max="12801" width="4.5" style="103" bestFit="1" customWidth="1"/>
    <col min="12802" max="12802" width="3.375" style="103" bestFit="1" customWidth="1"/>
    <col min="12803" max="12803" width="26.625" style="103" customWidth="1"/>
    <col min="12804" max="12807" width="16.125" style="103" customWidth="1"/>
    <col min="12808" max="12808" width="0" style="103" hidden="1" customWidth="1"/>
    <col min="12809" max="12809" width="5.125" style="103" customWidth="1"/>
    <col min="12810" max="12810" width="4.125" style="103" bestFit="1" customWidth="1"/>
    <col min="12811" max="12811" width="10.625" style="103" customWidth="1"/>
    <col min="12812" max="12812" width="5.125" style="103" customWidth="1"/>
    <col min="12813" max="12813" width="4.125" style="103" bestFit="1" customWidth="1"/>
    <col min="12814" max="12814" width="10.625" style="103" customWidth="1"/>
    <col min="12815" max="12815" width="2.375" style="103" customWidth="1"/>
    <col min="12816" max="12816" width="4.5" style="103" bestFit="1" customWidth="1"/>
    <col min="12817" max="12817" width="3.375" style="103" bestFit="1" customWidth="1"/>
    <col min="12818" max="12818" width="26.625" style="103" customWidth="1"/>
    <col min="12819" max="12822" width="16.125" style="103" customWidth="1"/>
    <col min="12823" max="12823" width="0" style="103" hidden="1" customWidth="1"/>
    <col min="12824" max="12824" width="5.125" style="103" customWidth="1"/>
    <col min="12825" max="12825" width="4.125" style="103" bestFit="1" customWidth="1"/>
    <col min="12826" max="12826" width="10.625" style="103" customWidth="1"/>
    <col min="12827" max="12827" width="5.125" style="103" customWidth="1"/>
    <col min="12828" max="12828" width="4.125" style="103" bestFit="1" customWidth="1"/>
    <col min="12829" max="12829" width="10.625" style="103" customWidth="1"/>
    <col min="12830" max="13056" width="9" style="103"/>
    <col min="13057" max="13057" width="4.5" style="103" bestFit="1" customWidth="1"/>
    <col min="13058" max="13058" width="3.375" style="103" bestFit="1" customWidth="1"/>
    <col min="13059" max="13059" width="26.625" style="103" customWidth="1"/>
    <col min="13060" max="13063" width="16.125" style="103" customWidth="1"/>
    <col min="13064" max="13064" width="0" style="103" hidden="1" customWidth="1"/>
    <col min="13065" max="13065" width="5.125" style="103" customWidth="1"/>
    <col min="13066" max="13066" width="4.125" style="103" bestFit="1" customWidth="1"/>
    <col min="13067" max="13067" width="10.625" style="103" customWidth="1"/>
    <col min="13068" max="13068" width="5.125" style="103" customWidth="1"/>
    <col min="13069" max="13069" width="4.125" style="103" bestFit="1" customWidth="1"/>
    <col min="13070" max="13070" width="10.625" style="103" customWidth="1"/>
    <col min="13071" max="13071" width="2.375" style="103" customWidth="1"/>
    <col min="13072" max="13072" width="4.5" style="103" bestFit="1" customWidth="1"/>
    <col min="13073" max="13073" width="3.375" style="103" bestFit="1" customWidth="1"/>
    <col min="13074" max="13074" width="26.625" style="103" customWidth="1"/>
    <col min="13075" max="13078" width="16.125" style="103" customWidth="1"/>
    <col min="13079" max="13079" width="0" style="103" hidden="1" customWidth="1"/>
    <col min="13080" max="13080" width="5.125" style="103" customWidth="1"/>
    <col min="13081" max="13081" width="4.125" style="103" bestFit="1" customWidth="1"/>
    <col min="13082" max="13082" width="10.625" style="103" customWidth="1"/>
    <col min="13083" max="13083" width="5.125" style="103" customWidth="1"/>
    <col min="13084" max="13084" width="4.125" style="103" bestFit="1" customWidth="1"/>
    <col min="13085" max="13085" width="10.625" style="103" customWidth="1"/>
    <col min="13086" max="13312" width="9" style="103"/>
    <col min="13313" max="13313" width="4.5" style="103" bestFit="1" customWidth="1"/>
    <col min="13314" max="13314" width="3.375" style="103" bestFit="1" customWidth="1"/>
    <col min="13315" max="13315" width="26.625" style="103" customWidth="1"/>
    <col min="13316" max="13319" width="16.125" style="103" customWidth="1"/>
    <col min="13320" max="13320" width="0" style="103" hidden="1" customWidth="1"/>
    <col min="13321" max="13321" width="5.125" style="103" customWidth="1"/>
    <col min="13322" max="13322" width="4.125" style="103" bestFit="1" customWidth="1"/>
    <col min="13323" max="13323" width="10.625" style="103" customWidth="1"/>
    <col min="13324" max="13324" width="5.125" style="103" customWidth="1"/>
    <col min="13325" max="13325" width="4.125" style="103" bestFit="1" customWidth="1"/>
    <col min="13326" max="13326" width="10.625" style="103" customWidth="1"/>
    <col min="13327" max="13327" width="2.375" style="103" customWidth="1"/>
    <col min="13328" max="13328" width="4.5" style="103" bestFit="1" customWidth="1"/>
    <col min="13329" max="13329" width="3.375" style="103" bestFit="1" customWidth="1"/>
    <col min="13330" max="13330" width="26.625" style="103" customWidth="1"/>
    <col min="13331" max="13334" width="16.125" style="103" customWidth="1"/>
    <col min="13335" max="13335" width="0" style="103" hidden="1" customWidth="1"/>
    <col min="13336" max="13336" width="5.125" style="103" customWidth="1"/>
    <col min="13337" max="13337" width="4.125" style="103" bestFit="1" customWidth="1"/>
    <col min="13338" max="13338" width="10.625" style="103" customWidth="1"/>
    <col min="13339" max="13339" width="5.125" style="103" customWidth="1"/>
    <col min="13340" max="13340" width="4.125" style="103" bestFit="1" customWidth="1"/>
    <col min="13341" max="13341" width="10.625" style="103" customWidth="1"/>
    <col min="13342" max="13568" width="9" style="103"/>
    <col min="13569" max="13569" width="4.5" style="103" bestFit="1" customWidth="1"/>
    <col min="13570" max="13570" width="3.375" style="103" bestFit="1" customWidth="1"/>
    <col min="13571" max="13571" width="26.625" style="103" customWidth="1"/>
    <col min="13572" max="13575" width="16.125" style="103" customWidth="1"/>
    <col min="13576" max="13576" width="0" style="103" hidden="1" customWidth="1"/>
    <col min="13577" max="13577" width="5.125" style="103" customWidth="1"/>
    <col min="13578" max="13578" width="4.125" style="103" bestFit="1" customWidth="1"/>
    <col min="13579" max="13579" width="10.625" style="103" customWidth="1"/>
    <col min="13580" max="13580" width="5.125" style="103" customWidth="1"/>
    <col min="13581" max="13581" width="4.125" style="103" bestFit="1" customWidth="1"/>
    <col min="13582" max="13582" width="10.625" style="103" customWidth="1"/>
    <col min="13583" max="13583" width="2.375" style="103" customWidth="1"/>
    <col min="13584" max="13584" width="4.5" style="103" bestFit="1" customWidth="1"/>
    <col min="13585" max="13585" width="3.375" style="103" bestFit="1" customWidth="1"/>
    <col min="13586" max="13586" width="26.625" style="103" customWidth="1"/>
    <col min="13587" max="13590" width="16.125" style="103" customWidth="1"/>
    <col min="13591" max="13591" width="0" style="103" hidden="1" customWidth="1"/>
    <col min="13592" max="13592" width="5.125" style="103" customWidth="1"/>
    <col min="13593" max="13593" width="4.125" style="103" bestFit="1" customWidth="1"/>
    <col min="13594" max="13594" width="10.625" style="103" customWidth="1"/>
    <col min="13595" max="13595" width="5.125" style="103" customWidth="1"/>
    <col min="13596" max="13596" width="4.125" style="103" bestFit="1" customWidth="1"/>
    <col min="13597" max="13597" width="10.625" style="103" customWidth="1"/>
    <col min="13598" max="13824" width="9" style="103"/>
    <col min="13825" max="13825" width="4.5" style="103" bestFit="1" customWidth="1"/>
    <col min="13826" max="13826" width="3.375" style="103" bestFit="1" customWidth="1"/>
    <col min="13827" max="13827" width="26.625" style="103" customWidth="1"/>
    <col min="13828" max="13831" width="16.125" style="103" customWidth="1"/>
    <col min="13832" max="13832" width="0" style="103" hidden="1" customWidth="1"/>
    <col min="13833" max="13833" width="5.125" style="103" customWidth="1"/>
    <col min="13834" max="13834" width="4.125" style="103" bestFit="1" customWidth="1"/>
    <col min="13835" max="13835" width="10.625" style="103" customWidth="1"/>
    <col min="13836" max="13836" width="5.125" style="103" customWidth="1"/>
    <col min="13837" max="13837" width="4.125" style="103" bestFit="1" customWidth="1"/>
    <col min="13838" max="13838" width="10.625" style="103" customWidth="1"/>
    <col min="13839" max="13839" width="2.375" style="103" customWidth="1"/>
    <col min="13840" max="13840" width="4.5" style="103" bestFit="1" customWidth="1"/>
    <col min="13841" max="13841" width="3.375" style="103" bestFit="1" customWidth="1"/>
    <col min="13842" max="13842" width="26.625" style="103" customWidth="1"/>
    <col min="13843" max="13846" width="16.125" style="103" customWidth="1"/>
    <col min="13847" max="13847" width="0" style="103" hidden="1" customWidth="1"/>
    <col min="13848" max="13848" width="5.125" style="103" customWidth="1"/>
    <col min="13849" max="13849" width="4.125" style="103" bestFit="1" customWidth="1"/>
    <col min="13850" max="13850" width="10.625" style="103" customWidth="1"/>
    <col min="13851" max="13851" width="5.125" style="103" customWidth="1"/>
    <col min="13852" max="13852" width="4.125" style="103" bestFit="1" customWidth="1"/>
    <col min="13853" max="13853" width="10.625" style="103" customWidth="1"/>
    <col min="13854" max="14080" width="9" style="103"/>
    <col min="14081" max="14081" width="4.5" style="103" bestFit="1" customWidth="1"/>
    <col min="14082" max="14082" width="3.375" style="103" bestFit="1" customWidth="1"/>
    <col min="14083" max="14083" width="26.625" style="103" customWidth="1"/>
    <col min="14084" max="14087" width="16.125" style="103" customWidth="1"/>
    <col min="14088" max="14088" width="0" style="103" hidden="1" customWidth="1"/>
    <col min="14089" max="14089" width="5.125" style="103" customWidth="1"/>
    <col min="14090" max="14090" width="4.125" style="103" bestFit="1" customWidth="1"/>
    <col min="14091" max="14091" width="10.625" style="103" customWidth="1"/>
    <col min="14092" max="14092" width="5.125" style="103" customWidth="1"/>
    <col min="14093" max="14093" width="4.125" style="103" bestFit="1" customWidth="1"/>
    <col min="14094" max="14094" width="10.625" style="103" customWidth="1"/>
    <col min="14095" max="14095" width="2.375" style="103" customWidth="1"/>
    <col min="14096" max="14096" width="4.5" style="103" bestFit="1" customWidth="1"/>
    <col min="14097" max="14097" width="3.375" style="103" bestFit="1" customWidth="1"/>
    <col min="14098" max="14098" width="26.625" style="103" customWidth="1"/>
    <col min="14099" max="14102" width="16.125" style="103" customWidth="1"/>
    <col min="14103" max="14103" width="0" style="103" hidden="1" customWidth="1"/>
    <col min="14104" max="14104" width="5.125" style="103" customWidth="1"/>
    <col min="14105" max="14105" width="4.125" style="103" bestFit="1" customWidth="1"/>
    <col min="14106" max="14106" width="10.625" style="103" customWidth="1"/>
    <col min="14107" max="14107" width="5.125" style="103" customWidth="1"/>
    <col min="14108" max="14108" width="4.125" style="103" bestFit="1" customWidth="1"/>
    <col min="14109" max="14109" width="10.625" style="103" customWidth="1"/>
    <col min="14110" max="14336" width="9" style="103"/>
    <col min="14337" max="14337" width="4.5" style="103" bestFit="1" customWidth="1"/>
    <col min="14338" max="14338" width="3.375" style="103" bestFit="1" customWidth="1"/>
    <col min="14339" max="14339" width="26.625" style="103" customWidth="1"/>
    <col min="14340" max="14343" width="16.125" style="103" customWidth="1"/>
    <col min="14344" max="14344" width="0" style="103" hidden="1" customWidth="1"/>
    <col min="14345" max="14345" width="5.125" style="103" customWidth="1"/>
    <col min="14346" max="14346" width="4.125" style="103" bestFit="1" customWidth="1"/>
    <col min="14347" max="14347" width="10.625" style="103" customWidth="1"/>
    <col min="14348" max="14348" width="5.125" style="103" customWidth="1"/>
    <col min="14349" max="14349" width="4.125" style="103" bestFit="1" customWidth="1"/>
    <col min="14350" max="14350" width="10.625" style="103" customWidth="1"/>
    <col min="14351" max="14351" width="2.375" style="103" customWidth="1"/>
    <col min="14352" max="14352" width="4.5" style="103" bestFit="1" customWidth="1"/>
    <col min="14353" max="14353" width="3.375" style="103" bestFit="1" customWidth="1"/>
    <col min="14354" max="14354" width="26.625" style="103" customWidth="1"/>
    <col min="14355" max="14358" width="16.125" style="103" customWidth="1"/>
    <col min="14359" max="14359" width="0" style="103" hidden="1" customWidth="1"/>
    <col min="14360" max="14360" width="5.125" style="103" customWidth="1"/>
    <col min="14361" max="14361" width="4.125" style="103" bestFit="1" customWidth="1"/>
    <col min="14362" max="14362" width="10.625" style="103" customWidth="1"/>
    <col min="14363" max="14363" width="5.125" style="103" customWidth="1"/>
    <col min="14364" max="14364" width="4.125" style="103" bestFit="1" customWidth="1"/>
    <col min="14365" max="14365" width="10.625" style="103" customWidth="1"/>
    <col min="14366" max="14592" width="9" style="103"/>
    <col min="14593" max="14593" width="4.5" style="103" bestFit="1" customWidth="1"/>
    <col min="14594" max="14594" width="3.375" style="103" bestFit="1" customWidth="1"/>
    <col min="14595" max="14595" width="26.625" style="103" customWidth="1"/>
    <col min="14596" max="14599" width="16.125" style="103" customWidth="1"/>
    <col min="14600" max="14600" width="0" style="103" hidden="1" customWidth="1"/>
    <col min="14601" max="14601" width="5.125" style="103" customWidth="1"/>
    <col min="14602" max="14602" width="4.125" style="103" bestFit="1" customWidth="1"/>
    <col min="14603" max="14603" width="10.625" style="103" customWidth="1"/>
    <col min="14604" max="14604" width="5.125" style="103" customWidth="1"/>
    <col min="14605" max="14605" width="4.125" style="103" bestFit="1" customWidth="1"/>
    <col min="14606" max="14606" width="10.625" style="103" customWidth="1"/>
    <col min="14607" max="14607" width="2.375" style="103" customWidth="1"/>
    <col min="14608" max="14608" width="4.5" style="103" bestFit="1" customWidth="1"/>
    <col min="14609" max="14609" width="3.375" style="103" bestFit="1" customWidth="1"/>
    <col min="14610" max="14610" width="26.625" style="103" customWidth="1"/>
    <col min="14611" max="14614" width="16.125" style="103" customWidth="1"/>
    <col min="14615" max="14615" width="0" style="103" hidden="1" customWidth="1"/>
    <col min="14616" max="14616" width="5.125" style="103" customWidth="1"/>
    <col min="14617" max="14617" width="4.125" style="103" bestFit="1" customWidth="1"/>
    <col min="14618" max="14618" width="10.625" style="103" customWidth="1"/>
    <col min="14619" max="14619" width="5.125" style="103" customWidth="1"/>
    <col min="14620" max="14620" width="4.125" style="103" bestFit="1" customWidth="1"/>
    <col min="14621" max="14621" width="10.625" style="103" customWidth="1"/>
    <col min="14622" max="14848" width="9" style="103"/>
    <col min="14849" max="14849" width="4.5" style="103" bestFit="1" customWidth="1"/>
    <col min="14850" max="14850" width="3.375" style="103" bestFit="1" customWidth="1"/>
    <col min="14851" max="14851" width="26.625" style="103" customWidth="1"/>
    <col min="14852" max="14855" width="16.125" style="103" customWidth="1"/>
    <col min="14856" max="14856" width="0" style="103" hidden="1" customWidth="1"/>
    <col min="14857" max="14857" width="5.125" style="103" customWidth="1"/>
    <col min="14858" max="14858" width="4.125" style="103" bestFit="1" customWidth="1"/>
    <col min="14859" max="14859" width="10.625" style="103" customWidth="1"/>
    <col min="14860" max="14860" width="5.125" style="103" customWidth="1"/>
    <col min="14861" max="14861" width="4.125" style="103" bestFit="1" customWidth="1"/>
    <col min="14862" max="14862" width="10.625" style="103" customWidth="1"/>
    <col min="14863" max="14863" width="2.375" style="103" customWidth="1"/>
    <col min="14864" max="14864" width="4.5" style="103" bestFit="1" customWidth="1"/>
    <col min="14865" max="14865" width="3.375" style="103" bestFit="1" customWidth="1"/>
    <col min="14866" max="14866" width="26.625" style="103" customWidth="1"/>
    <col min="14867" max="14870" width="16.125" style="103" customWidth="1"/>
    <col min="14871" max="14871" width="0" style="103" hidden="1" customWidth="1"/>
    <col min="14872" max="14872" width="5.125" style="103" customWidth="1"/>
    <col min="14873" max="14873" width="4.125" style="103" bestFit="1" customWidth="1"/>
    <col min="14874" max="14874" width="10.625" style="103" customWidth="1"/>
    <col min="14875" max="14875" width="5.125" style="103" customWidth="1"/>
    <col min="14876" max="14876" width="4.125" style="103" bestFit="1" customWidth="1"/>
    <col min="14877" max="14877" width="10.625" style="103" customWidth="1"/>
    <col min="14878" max="15104" width="9" style="103"/>
    <col min="15105" max="15105" width="4.5" style="103" bestFit="1" customWidth="1"/>
    <col min="15106" max="15106" width="3.375" style="103" bestFit="1" customWidth="1"/>
    <col min="15107" max="15107" width="26.625" style="103" customWidth="1"/>
    <col min="15108" max="15111" width="16.125" style="103" customWidth="1"/>
    <col min="15112" max="15112" width="0" style="103" hidden="1" customWidth="1"/>
    <col min="15113" max="15113" width="5.125" style="103" customWidth="1"/>
    <col min="15114" max="15114" width="4.125" style="103" bestFit="1" customWidth="1"/>
    <col min="15115" max="15115" width="10.625" style="103" customWidth="1"/>
    <col min="15116" max="15116" width="5.125" style="103" customWidth="1"/>
    <col min="15117" max="15117" width="4.125" style="103" bestFit="1" customWidth="1"/>
    <col min="15118" max="15118" width="10.625" style="103" customWidth="1"/>
    <col min="15119" max="15119" width="2.375" style="103" customWidth="1"/>
    <col min="15120" max="15120" width="4.5" style="103" bestFit="1" customWidth="1"/>
    <col min="15121" max="15121" width="3.375" style="103" bestFit="1" customWidth="1"/>
    <col min="15122" max="15122" width="26.625" style="103" customWidth="1"/>
    <col min="15123" max="15126" width="16.125" style="103" customWidth="1"/>
    <col min="15127" max="15127" width="0" style="103" hidden="1" customWidth="1"/>
    <col min="15128" max="15128" width="5.125" style="103" customWidth="1"/>
    <col min="15129" max="15129" width="4.125" style="103" bestFit="1" customWidth="1"/>
    <col min="15130" max="15130" width="10.625" style="103" customWidth="1"/>
    <col min="15131" max="15131" width="5.125" style="103" customWidth="1"/>
    <col min="15132" max="15132" width="4.125" style="103" bestFit="1" customWidth="1"/>
    <col min="15133" max="15133" width="10.625" style="103" customWidth="1"/>
    <col min="15134" max="15360" width="9" style="103"/>
    <col min="15361" max="15361" width="4.5" style="103" bestFit="1" customWidth="1"/>
    <col min="15362" max="15362" width="3.375" style="103" bestFit="1" customWidth="1"/>
    <col min="15363" max="15363" width="26.625" style="103" customWidth="1"/>
    <col min="15364" max="15367" width="16.125" style="103" customWidth="1"/>
    <col min="15368" max="15368" width="0" style="103" hidden="1" customWidth="1"/>
    <col min="15369" max="15369" width="5.125" style="103" customWidth="1"/>
    <col min="15370" max="15370" width="4.125" style="103" bestFit="1" customWidth="1"/>
    <col min="15371" max="15371" width="10.625" style="103" customWidth="1"/>
    <col min="15372" max="15372" width="5.125" style="103" customWidth="1"/>
    <col min="15373" max="15373" width="4.125" style="103" bestFit="1" customWidth="1"/>
    <col min="15374" max="15374" width="10.625" style="103" customWidth="1"/>
    <col min="15375" max="15375" width="2.375" style="103" customWidth="1"/>
    <col min="15376" max="15376" width="4.5" style="103" bestFit="1" customWidth="1"/>
    <col min="15377" max="15377" width="3.375" style="103" bestFit="1" customWidth="1"/>
    <col min="15378" max="15378" width="26.625" style="103" customWidth="1"/>
    <col min="15379" max="15382" width="16.125" style="103" customWidth="1"/>
    <col min="15383" max="15383" width="0" style="103" hidden="1" customWidth="1"/>
    <col min="15384" max="15384" width="5.125" style="103" customWidth="1"/>
    <col min="15385" max="15385" width="4.125" style="103" bestFit="1" customWidth="1"/>
    <col min="15386" max="15386" width="10.625" style="103" customWidth="1"/>
    <col min="15387" max="15387" width="5.125" style="103" customWidth="1"/>
    <col min="15388" max="15388" width="4.125" style="103" bestFit="1" customWidth="1"/>
    <col min="15389" max="15389" width="10.625" style="103" customWidth="1"/>
    <col min="15390" max="15616" width="9" style="103"/>
    <col min="15617" max="15617" width="4.5" style="103" bestFit="1" customWidth="1"/>
    <col min="15618" max="15618" width="3.375" style="103" bestFit="1" customWidth="1"/>
    <col min="15619" max="15619" width="26.625" style="103" customWidth="1"/>
    <col min="15620" max="15623" width="16.125" style="103" customWidth="1"/>
    <col min="15624" max="15624" width="0" style="103" hidden="1" customWidth="1"/>
    <col min="15625" max="15625" width="5.125" style="103" customWidth="1"/>
    <col min="15626" max="15626" width="4.125" style="103" bestFit="1" customWidth="1"/>
    <col min="15627" max="15627" width="10.625" style="103" customWidth="1"/>
    <col min="15628" max="15628" width="5.125" style="103" customWidth="1"/>
    <col min="15629" max="15629" width="4.125" style="103" bestFit="1" customWidth="1"/>
    <col min="15630" max="15630" width="10.625" style="103" customWidth="1"/>
    <col min="15631" max="15631" width="2.375" style="103" customWidth="1"/>
    <col min="15632" max="15632" width="4.5" style="103" bestFit="1" customWidth="1"/>
    <col min="15633" max="15633" width="3.375" style="103" bestFit="1" customWidth="1"/>
    <col min="15634" max="15634" width="26.625" style="103" customWidth="1"/>
    <col min="15635" max="15638" width="16.125" style="103" customWidth="1"/>
    <col min="15639" max="15639" width="0" style="103" hidden="1" customWidth="1"/>
    <col min="15640" max="15640" width="5.125" style="103" customWidth="1"/>
    <col min="15641" max="15641" width="4.125" style="103" bestFit="1" customWidth="1"/>
    <col min="15642" max="15642" width="10.625" style="103" customWidth="1"/>
    <col min="15643" max="15643" width="5.125" style="103" customWidth="1"/>
    <col min="15644" max="15644" width="4.125" style="103" bestFit="1" customWidth="1"/>
    <col min="15645" max="15645" width="10.625" style="103" customWidth="1"/>
    <col min="15646" max="15872" width="9" style="103"/>
    <col min="15873" max="15873" width="4.5" style="103" bestFit="1" customWidth="1"/>
    <col min="15874" max="15874" width="3.375" style="103" bestFit="1" customWidth="1"/>
    <col min="15875" max="15875" width="26.625" style="103" customWidth="1"/>
    <col min="15876" max="15879" width="16.125" style="103" customWidth="1"/>
    <col min="15880" max="15880" width="0" style="103" hidden="1" customWidth="1"/>
    <col min="15881" max="15881" width="5.125" style="103" customWidth="1"/>
    <col min="15882" max="15882" width="4.125" style="103" bestFit="1" customWidth="1"/>
    <col min="15883" max="15883" width="10.625" style="103" customWidth="1"/>
    <col min="15884" max="15884" width="5.125" style="103" customWidth="1"/>
    <col min="15885" max="15885" width="4.125" style="103" bestFit="1" customWidth="1"/>
    <col min="15886" max="15886" width="10.625" style="103" customWidth="1"/>
    <col min="15887" max="15887" width="2.375" style="103" customWidth="1"/>
    <col min="15888" max="15888" width="4.5" style="103" bestFit="1" customWidth="1"/>
    <col min="15889" max="15889" width="3.375" style="103" bestFit="1" customWidth="1"/>
    <col min="15890" max="15890" width="26.625" style="103" customWidth="1"/>
    <col min="15891" max="15894" width="16.125" style="103" customWidth="1"/>
    <col min="15895" max="15895" width="0" style="103" hidden="1" customWidth="1"/>
    <col min="15896" max="15896" width="5.125" style="103" customWidth="1"/>
    <col min="15897" max="15897" width="4.125" style="103" bestFit="1" customWidth="1"/>
    <col min="15898" max="15898" width="10.625" style="103" customWidth="1"/>
    <col min="15899" max="15899" width="5.125" style="103" customWidth="1"/>
    <col min="15900" max="15900" width="4.125" style="103" bestFit="1" customWidth="1"/>
    <col min="15901" max="15901" width="10.625" style="103" customWidth="1"/>
    <col min="15902" max="16128" width="9" style="103"/>
    <col min="16129" max="16129" width="4.5" style="103" bestFit="1" customWidth="1"/>
    <col min="16130" max="16130" width="3.375" style="103" bestFit="1" customWidth="1"/>
    <col min="16131" max="16131" width="26.625" style="103" customWidth="1"/>
    <col min="16132" max="16135" width="16.125" style="103" customWidth="1"/>
    <col min="16136" max="16136" width="0" style="103" hidden="1" customWidth="1"/>
    <col min="16137" max="16137" width="5.125" style="103" customWidth="1"/>
    <col min="16138" max="16138" width="4.125" style="103" bestFit="1" customWidth="1"/>
    <col min="16139" max="16139" width="10.625" style="103" customWidth="1"/>
    <col min="16140" max="16140" width="5.125" style="103" customWidth="1"/>
    <col min="16141" max="16141" width="4.125" style="103" bestFit="1" customWidth="1"/>
    <col min="16142" max="16142" width="10.625" style="103" customWidth="1"/>
    <col min="16143" max="16143" width="2.375" style="103" customWidth="1"/>
    <col min="16144" max="16144" width="4.5" style="103" bestFit="1" customWidth="1"/>
    <col min="16145" max="16145" width="3.375" style="103" bestFit="1" customWidth="1"/>
    <col min="16146" max="16146" width="26.625" style="103" customWidth="1"/>
    <col min="16147" max="16150" width="16.125" style="103" customWidth="1"/>
    <col min="16151" max="16151" width="0" style="103" hidden="1" customWidth="1"/>
    <col min="16152" max="16152" width="5.125" style="103" customWidth="1"/>
    <col min="16153" max="16153" width="4.125" style="103" bestFit="1" customWidth="1"/>
    <col min="16154" max="16154" width="10.625" style="103" customWidth="1"/>
    <col min="16155" max="16155" width="5.125" style="103" customWidth="1"/>
    <col min="16156" max="16156" width="4.125" style="103" bestFit="1" customWidth="1"/>
    <col min="16157" max="16157" width="10.625" style="103" customWidth="1"/>
    <col min="16158" max="16384" width="9" style="103"/>
  </cols>
  <sheetData>
    <row r="1" spans="1:29" ht="33.75" customHeight="1" x14ac:dyDescent="0.15">
      <c r="P1" s="104"/>
    </row>
    <row r="2" spans="1:29" s="104" customFormat="1" ht="12" customHeight="1" x14ac:dyDescent="0.15">
      <c r="A2" s="274" t="s">
        <v>22</v>
      </c>
      <c r="B2" s="275" t="s">
        <v>458</v>
      </c>
      <c r="C2" s="276"/>
      <c r="D2" s="277" t="s">
        <v>459</v>
      </c>
      <c r="E2" s="278"/>
      <c r="F2" s="279"/>
      <c r="G2" s="220" t="s">
        <v>460</v>
      </c>
      <c r="H2" s="280" t="s">
        <v>461</v>
      </c>
      <c r="I2" s="281"/>
      <c r="J2" s="282"/>
      <c r="K2" s="280" t="s">
        <v>462</v>
      </c>
      <c r="L2" s="281"/>
      <c r="M2" s="281"/>
      <c r="N2" s="283" t="s">
        <v>3</v>
      </c>
      <c r="O2" s="284"/>
      <c r="P2" s="274" t="s">
        <v>22</v>
      </c>
      <c r="Q2" s="275" t="s">
        <v>458</v>
      </c>
      <c r="R2" s="285"/>
      <c r="S2" s="286" t="s">
        <v>459</v>
      </c>
      <c r="T2" s="286"/>
      <c r="U2" s="286"/>
      <c r="V2" s="220" t="s">
        <v>460</v>
      </c>
      <c r="W2" s="280" t="s">
        <v>461</v>
      </c>
      <c r="X2" s="281"/>
      <c r="Y2" s="282"/>
      <c r="Z2" s="280" t="s">
        <v>462</v>
      </c>
      <c r="AA2" s="281"/>
      <c r="AB2" s="281"/>
      <c r="AC2" s="283" t="s">
        <v>3</v>
      </c>
    </row>
    <row r="3" spans="1:29" s="104" customFormat="1" ht="12" customHeight="1" x14ac:dyDescent="0.15">
      <c r="A3" s="274"/>
      <c r="B3" s="275"/>
      <c r="C3" s="276"/>
      <c r="D3" s="287" t="s">
        <v>463</v>
      </c>
      <c r="E3" s="288" t="s">
        <v>464</v>
      </c>
      <c r="F3" s="289" t="s">
        <v>465</v>
      </c>
      <c r="G3" s="205"/>
      <c r="H3" s="290" t="s">
        <v>466</v>
      </c>
      <c r="I3" s="291"/>
      <c r="J3" s="292" t="s">
        <v>467</v>
      </c>
      <c r="K3" s="290" t="s">
        <v>466</v>
      </c>
      <c r="L3" s="291"/>
      <c r="M3" s="293" t="s">
        <v>467</v>
      </c>
      <c r="N3" s="294"/>
      <c r="O3" s="295"/>
      <c r="P3" s="274"/>
      <c r="Q3" s="275"/>
      <c r="R3" s="285"/>
      <c r="S3" s="287" t="s">
        <v>463</v>
      </c>
      <c r="T3" s="288" t="s">
        <v>464</v>
      </c>
      <c r="U3" s="289" t="s">
        <v>465</v>
      </c>
      <c r="V3" s="205"/>
      <c r="W3" s="290" t="s">
        <v>466</v>
      </c>
      <c r="X3" s="291"/>
      <c r="Y3" s="292" t="s">
        <v>467</v>
      </c>
      <c r="Z3" s="290" t="s">
        <v>466</v>
      </c>
      <c r="AA3" s="291"/>
      <c r="AB3" s="296" t="s">
        <v>467</v>
      </c>
      <c r="AC3" s="294"/>
    </row>
    <row r="4" spans="1:29" s="104" customFormat="1" ht="12" customHeight="1" x14ac:dyDescent="0.15">
      <c r="A4" s="274"/>
      <c r="B4" s="275"/>
      <c r="C4" s="276"/>
      <c r="D4" s="287"/>
      <c r="E4" s="288"/>
      <c r="F4" s="289"/>
      <c r="G4" s="205"/>
      <c r="H4" s="290"/>
      <c r="I4" s="291"/>
      <c r="J4" s="292"/>
      <c r="K4" s="290"/>
      <c r="L4" s="291"/>
      <c r="M4" s="293"/>
      <c r="N4" s="294"/>
      <c r="O4" s="295"/>
      <c r="P4" s="274"/>
      <c r="Q4" s="275"/>
      <c r="R4" s="285"/>
      <c r="S4" s="287"/>
      <c r="T4" s="288"/>
      <c r="U4" s="289"/>
      <c r="V4" s="205"/>
      <c r="W4" s="290"/>
      <c r="X4" s="291"/>
      <c r="Y4" s="292"/>
      <c r="Z4" s="290"/>
      <c r="AA4" s="291"/>
      <c r="AB4" s="293"/>
      <c r="AC4" s="294"/>
    </row>
    <row r="5" spans="1:29" s="104" customFormat="1" ht="12" customHeight="1" x14ac:dyDescent="0.15">
      <c r="A5" s="274"/>
      <c r="B5" s="275"/>
      <c r="C5" s="276"/>
      <c r="D5" s="287"/>
      <c r="E5" s="288"/>
      <c r="F5" s="289"/>
      <c r="G5" s="205"/>
      <c r="H5" s="290"/>
      <c r="I5" s="291"/>
      <c r="J5" s="292"/>
      <c r="K5" s="290"/>
      <c r="L5" s="291"/>
      <c r="M5" s="293"/>
      <c r="N5" s="294"/>
      <c r="O5" s="295"/>
      <c r="P5" s="274"/>
      <c r="Q5" s="275"/>
      <c r="R5" s="285"/>
      <c r="S5" s="287"/>
      <c r="T5" s="288"/>
      <c r="U5" s="289"/>
      <c r="V5" s="205"/>
      <c r="W5" s="290"/>
      <c r="X5" s="291"/>
      <c r="Y5" s="292"/>
      <c r="Z5" s="290"/>
      <c r="AA5" s="291"/>
      <c r="AB5" s="293"/>
      <c r="AC5" s="294"/>
    </row>
    <row r="6" spans="1:29" s="104" customFormat="1" ht="12" customHeight="1" x14ac:dyDescent="0.15">
      <c r="A6" s="274"/>
      <c r="B6" s="275"/>
      <c r="C6" s="276"/>
      <c r="D6" s="287"/>
      <c r="E6" s="288"/>
      <c r="F6" s="289"/>
      <c r="G6" s="210"/>
      <c r="H6" s="297"/>
      <c r="I6" s="298"/>
      <c r="J6" s="299"/>
      <c r="K6" s="297"/>
      <c r="L6" s="298"/>
      <c r="M6" s="300"/>
      <c r="N6" s="301"/>
      <c r="O6" s="295"/>
      <c r="P6" s="274"/>
      <c r="Q6" s="275"/>
      <c r="R6" s="285"/>
      <c r="S6" s="287"/>
      <c r="T6" s="288"/>
      <c r="U6" s="289"/>
      <c r="V6" s="210"/>
      <c r="W6" s="297"/>
      <c r="X6" s="298"/>
      <c r="Y6" s="299"/>
      <c r="Z6" s="297"/>
      <c r="AA6" s="298"/>
      <c r="AB6" s="300"/>
      <c r="AC6" s="301"/>
    </row>
    <row r="7" spans="1:29" ht="12.75" customHeight="1" x14ac:dyDescent="0.15">
      <c r="A7" s="302">
        <v>2</v>
      </c>
      <c r="B7" s="303" t="s">
        <v>324</v>
      </c>
      <c r="C7" s="304" t="s">
        <v>23</v>
      </c>
      <c r="D7" s="305" t="s">
        <v>468</v>
      </c>
      <c r="E7" s="305" t="s">
        <v>469</v>
      </c>
      <c r="F7" s="305" t="s">
        <v>470</v>
      </c>
      <c r="G7" s="182" t="s">
        <v>471</v>
      </c>
      <c r="H7" s="306">
        <v>383</v>
      </c>
      <c r="I7" s="307" t="s">
        <v>472</v>
      </c>
      <c r="J7" s="308" t="s">
        <v>473</v>
      </c>
      <c r="K7" s="306">
        <f>383*0.75</f>
        <v>287.25</v>
      </c>
      <c r="L7" s="307" t="s">
        <v>472</v>
      </c>
      <c r="M7" s="309" t="s">
        <v>473</v>
      </c>
      <c r="N7" s="310" t="s">
        <v>55</v>
      </c>
      <c r="O7" s="311"/>
      <c r="P7" s="312">
        <v>17</v>
      </c>
      <c r="Q7" s="312" t="s">
        <v>329</v>
      </c>
      <c r="R7" s="313" t="s">
        <v>105</v>
      </c>
      <c r="S7" s="305" t="s">
        <v>474</v>
      </c>
      <c r="T7" s="305" t="s">
        <v>475</v>
      </c>
      <c r="U7" s="305" t="s">
        <v>476</v>
      </c>
      <c r="V7" s="182" t="s">
        <v>477</v>
      </c>
      <c r="W7" s="306">
        <v>448</v>
      </c>
      <c r="X7" s="307" t="s">
        <v>472</v>
      </c>
      <c r="Y7" s="308" t="s">
        <v>41</v>
      </c>
      <c r="Z7" s="306">
        <f>448*0.75</f>
        <v>336</v>
      </c>
      <c r="AA7" s="307" t="s">
        <v>472</v>
      </c>
      <c r="AB7" s="309" t="s">
        <v>41</v>
      </c>
      <c r="AC7" s="310" t="s">
        <v>55</v>
      </c>
    </row>
    <row r="8" spans="1:29" ht="12.75" customHeight="1" x14ac:dyDescent="0.15">
      <c r="A8" s="302"/>
      <c r="B8" s="303"/>
      <c r="C8" s="314" t="s">
        <v>71</v>
      </c>
      <c r="D8" s="315"/>
      <c r="E8" s="315"/>
      <c r="F8" s="305"/>
      <c r="G8" s="316"/>
      <c r="H8" s="317">
        <v>16.5</v>
      </c>
      <c r="I8" s="318" t="s">
        <v>478</v>
      </c>
      <c r="J8" s="319"/>
      <c r="K8" s="317">
        <f>16.5*0.75</f>
        <v>12.375</v>
      </c>
      <c r="L8" s="318" t="s">
        <v>478</v>
      </c>
      <c r="M8" s="320"/>
      <c r="N8" s="321" t="s">
        <v>479</v>
      </c>
      <c r="O8" s="311"/>
      <c r="P8" s="312"/>
      <c r="Q8" s="312"/>
      <c r="R8" s="318" t="s">
        <v>480</v>
      </c>
      <c r="S8" s="305"/>
      <c r="T8" s="305"/>
      <c r="U8" s="305"/>
      <c r="V8" s="316"/>
      <c r="W8" s="317">
        <v>13.7</v>
      </c>
      <c r="X8" s="318" t="s">
        <v>478</v>
      </c>
      <c r="Y8" s="319"/>
      <c r="Z8" s="317">
        <f>13.7*0.75</f>
        <v>10.274999999999999</v>
      </c>
      <c r="AA8" s="318" t="s">
        <v>478</v>
      </c>
      <c r="AB8" s="320"/>
      <c r="AC8" s="321" t="s">
        <v>481</v>
      </c>
    </row>
    <row r="9" spans="1:29" ht="12.75" customHeight="1" x14ac:dyDescent="0.15">
      <c r="A9" s="302"/>
      <c r="B9" s="303"/>
      <c r="C9" s="318" t="s">
        <v>82</v>
      </c>
      <c r="D9" s="315"/>
      <c r="E9" s="315"/>
      <c r="F9" s="305"/>
      <c r="G9" s="316"/>
      <c r="H9" s="317">
        <v>12.199999999999998</v>
      </c>
      <c r="I9" s="318" t="s">
        <v>478</v>
      </c>
      <c r="J9" s="319"/>
      <c r="K9" s="317">
        <f>12.2*0.75</f>
        <v>9.1499999999999986</v>
      </c>
      <c r="L9" s="318" t="s">
        <v>478</v>
      </c>
      <c r="M9" s="320"/>
      <c r="N9" s="321"/>
      <c r="O9" s="322"/>
      <c r="P9" s="312"/>
      <c r="Q9" s="312"/>
      <c r="R9" s="318" t="s">
        <v>117</v>
      </c>
      <c r="S9" s="305"/>
      <c r="T9" s="305"/>
      <c r="U9" s="305"/>
      <c r="V9" s="316"/>
      <c r="W9" s="317">
        <v>13.1</v>
      </c>
      <c r="X9" s="318" t="s">
        <v>478</v>
      </c>
      <c r="Y9" s="319"/>
      <c r="Z9" s="317">
        <f>13.1*0.75</f>
        <v>9.8249999999999993</v>
      </c>
      <c r="AA9" s="318" t="s">
        <v>478</v>
      </c>
      <c r="AB9" s="320"/>
      <c r="AC9" s="321"/>
    </row>
    <row r="10" spans="1:29" ht="12.75" customHeight="1" x14ac:dyDescent="0.15">
      <c r="A10" s="302"/>
      <c r="B10" s="303"/>
      <c r="C10" s="318" t="s">
        <v>43</v>
      </c>
      <c r="D10" s="315"/>
      <c r="E10" s="315"/>
      <c r="F10" s="305"/>
      <c r="G10" s="316"/>
      <c r="H10" s="317">
        <v>49.800000000000011</v>
      </c>
      <c r="I10" s="318" t="s">
        <v>478</v>
      </c>
      <c r="J10" s="319"/>
      <c r="K10" s="317">
        <f>49.8*0.75</f>
        <v>37.349999999999994</v>
      </c>
      <c r="L10" s="318" t="s">
        <v>478</v>
      </c>
      <c r="M10" s="320"/>
      <c r="N10" s="321"/>
      <c r="O10" s="322"/>
      <c r="P10" s="312"/>
      <c r="Q10" s="312"/>
      <c r="R10" s="318"/>
      <c r="S10" s="305"/>
      <c r="T10" s="305"/>
      <c r="U10" s="305"/>
      <c r="V10" s="316"/>
      <c r="W10" s="317">
        <v>67.2</v>
      </c>
      <c r="X10" s="318" t="s">
        <v>478</v>
      </c>
      <c r="Y10" s="319"/>
      <c r="Z10" s="317">
        <f>67.2*0.75</f>
        <v>50.400000000000006</v>
      </c>
      <c r="AA10" s="318" t="s">
        <v>478</v>
      </c>
      <c r="AB10" s="320"/>
      <c r="AC10" s="321"/>
    </row>
    <row r="11" spans="1:29" ht="12.75" customHeight="1" x14ac:dyDescent="0.15">
      <c r="A11" s="302"/>
      <c r="B11" s="303"/>
      <c r="C11" s="323" t="s">
        <v>88</v>
      </c>
      <c r="D11" s="315"/>
      <c r="E11" s="315"/>
      <c r="F11" s="305"/>
      <c r="G11" s="324"/>
      <c r="H11" s="325">
        <v>0.8</v>
      </c>
      <c r="I11" s="323" t="s">
        <v>482</v>
      </c>
      <c r="J11" s="326"/>
      <c r="K11" s="325">
        <f>0.8*0.75</f>
        <v>0.60000000000000009</v>
      </c>
      <c r="L11" s="323" t="s">
        <v>482</v>
      </c>
      <c r="M11" s="327"/>
      <c r="N11" s="328"/>
      <c r="O11" s="322"/>
      <c r="P11" s="312"/>
      <c r="Q11" s="312"/>
      <c r="R11" s="323"/>
      <c r="S11" s="305"/>
      <c r="T11" s="305"/>
      <c r="U11" s="305"/>
      <c r="V11" s="324"/>
      <c r="W11" s="325">
        <v>1.5</v>
      </c>
      <c r="X11" s="323" t="s">
        <v>482</v>
      </c>
      <c r="Y11" s="326"/>
      <c r="Z11" s="325">
        <f>1.5*0.75</f>
        <v>1.125</v>
      </c>
      <c r="AA11" s="323" t="s">
        <v>482</v>
      </c>
      <c r="AB11" s="327"/>
      <c r="AC11" s="328"/>
    </row>
    <row r="12" spans="1:29" ht="12.75" customHeight="1" x14ac:dyDescent="0.15">
      <c r="A12" s="302">
        <v>3</v>
      </c>
      <c r="B12" s="303" t="s">
        <v>329</v>
      </c>
      <c r="C12" s="313" t="s">
        <v>105</v>
      </c>
      <c r="D12" s="305" t="s">
        <v>474</v>
      </c>
      <c r="E12" s="305" t="s">
        <v>483</v>
      </c>
      <c r="F12" s="305" t="s">
        <v>476</v>
      </c>
      <c r="G12" s="182" t="s">
        <v>477</v>
      </c>
      <c r="H12" s="306">
        <v>454</v>
      </c>
      <c r="I12" s="304" t="s">
        <v>484</v>
      </c>
      <c r="J12" s="308" t="s">
        <v>473</v>
      </c>
      <c r="K12" s="306">
        <f>454*0.75</f>
        <v>340.5</v>
      </c>
      <c r="L12" s="304" t="s">
        <v>484</v>
      </c>
      <c r="M12" s="309" t="s">
        <v>473</v>
      </c>
      <c r="N12" s="310" t="s">
        <v>55</v>
      </c>
      <c r="O12" s="322"/>
      <c r="P12" s="329" t="s">
        <v>485</v>
      </c>
      <c r="Q12" s="330" t="s">
        <v>486</v>
      </c>
      <c r="R12" s="307" t="s">
        <v>247</v>
      </c>
      <c r="S12" s="305" t="s">
        <v>487</v>
      </c>
      <c r="T12" s="305" t="s">
        <v>488</v>
      </c>
      <c r="U12" s="305" t="s">
        <v>489</v>
      </c>
      <c r="V12" s="182" t="s">
        <v>490</v>
      </c>
      <c r="W12" s="306">
        <v>429</v>
      </c>
      <c r="X12" s="304" t="s">
        <v>484</v>
      </c>
      <c r="Y12" s="308" t="s">
        <v>491</v>
      </c>
      <c r="Z12" s="306">
        <f>429*0.75</f>
        <v>321.75</v>
      </c>
      <c r="AA12" s="304" t="s">
        <v>484</v>
      </c>
      <c r="AB12" s="309" t="s">
        <v>491</v>
      </c>
      <c r="AC12" s="310" t="s">
        <v>55</v>
      </c>
    </row>
    <row r="13" spans="1:29" ht="12.75" customHeight="1" x14ac:dyDescent="0.15">
      <c r="A13" s="331"/>
      <c r="B13" s="303"/>
      <c r="C13" s="318" t="s">
        <v>480</v>
      </c>
      <c r="D13" s="305"/>
      <c r="E13" s="305"/>
      <c r="F13" s="305"/>
      <c r="G13" s="316"/>
      <c r="H13" s="317">
        <v>13.4</v>
      </c>
      <c r="I13" s="318" t="s">
        <v>478</v>
      </c>
      <c r="J13" s="319"/>
      <c r="K13" s="317">
        <f>13.4*0.75</f>
        <v>10.050000000000001</v>
      </c>
      <c r="L13" s="318" t="s">
        <v>478</v>
      </c>
      <c r="M13" s="320"/>
      <c r="N13" s="321" t="s">
        <v>492</v>
      </c>
      <c r="O13" s="322"/>
      <c r="P13" s="332"/>
      <c r="Q13" s="330"/>
      <c r="R13" s="333" t="s">
        <v>493</v>
      </c>
      <c r="S13" s="305"/>
      <c r="T13" s="305"/>
      <c r="U13" s="305"/>
      <c r="V13" s="316"/>
      <c r="W13" s="317">
        <v>15.399999999999999</v>
      </c>
      <c r="X13" s="318" t="s">
        <v>478</v>
      </c>
      <c r="Y13" s="319"/>
      <c r="Z13" s="317">
        <f>15.4*0.75</f>
        <v>11.55</v>
      </c>
      <c r="AA13" s="318" t="s">
        <v>478</v>
      </c>
      <c r="AB13" s="320"/>
      <c r="AC13" s="321" t="s">
        <v>494</v>
      </c>
    </row>
    <row r="14" spans="1:29" ht="12.75" customHeight="1" x14ac:dyDescent="0.15">
      <c r="A14" s="331"/>
      <c r="B14" s="303"/>
      <c r="C14" s="318" t="s">
        <v>117</v>
      </c>
      <c r="D14" s="305"/>
      <c r="E14" s="305"/>
      <c r="F14" s="305"/>
      <c r="G14" s="316"/>
      <c r="H14" s="317">
        <v>13.299999999999999</v>
      </c>
      <c r="I14" s="318" t="s">
        <v>478</v>
      </c>
      <c r="J14" s="319"/>
      <c r="K14" s="317">
        <f>13.3*0.75</f>
        <v>9.9750000000000014</v>
      </c>
      <c r="L14" s="318" t="s">
        <v>478</v>
      </c>
      <c r="M14" s="320"/>
      <c r="N14" s="321"/>
      <c r="O14" s="322"/>
      <c r="P14" s="332"/>
      <c r="Q14" s="330"/>
      <c r="R14" s="318" t="s">
        <v>183</v>
      </c>
      <c r="S14" s="305"/>
      <c r="T14" s="305"/>
      <c r="U14" s="305"/>
      <c r="V14" s="316"/>
      <c r="W14" s="317">
        <v>13</v>
      </c>
      <c r="X14" s="318" t="s">
        <v>478</v>
      </c>
      <c r="Y14" s="319"/>
      <c r="Z14" s="317">
        <f>13*0.75</f>
        <v>9.75</v>
      </c>
      <c r="AA14" s="318" t="s">
        <v>478</v>
      </c>
      <c r="AB14" s="320"/>
      <c r="AC14" s="321"/>
    </row>
    <row r="15" spans="1:29" ht="12.75" customHeight="1" x14ac:dyDescent="0.15">
      <c r="A15" s="331"/>
      <c r="B15" s="303"/>
      <c r="C15" s="318"/>
      <c r="D15" s="305"/>
      <c r="E15" s="305"/>
      <c r="F15" s="305"/>
      <c r="G15" s="316"/>
      <c r="H15" s="317">
        <v>68.599999999999994</v>
      </c>
      <c r="I15" s="318" t="s">
        <v>478</v>
      </c>
      <c r="J15" s="319"/>
      <c r="K15" s="317">
        <f>68.6*0.75</f>
        <v>51.449999999999996</v>
      </c>
      <c r="L15" s="318" t="s">
        <v>478</v>
      </c>
      <c r="M15" s="320"/>
      <c r="N15" s="321"/>
      <c r="O15" s="322"/>
      <c r="P15" s="332"/>
      <c r="Q15" s="330"/>
      <c r="R15" s="318" t="s">
        <v>47</v>
      </c>
      <c r="S15" s="305"/>
      <c r="T15" s="305"/>
      <c r="U15" s="305"/>
      <c r="V15" s="316"/>
      <c r="W15" s="317">
        <v>59.099999999999994</v>
      </c>
      <c r="X15" s="318" t="s">
        <v>478</v>
      </c>
      <c r="Y15" s="319"/>
      <c r="Z15" s="317">
        <f>59.1*0.75</f>
        <v>44.325000000000003</v>
      </c>
      <c r="AA15" s="318" t="s">
        <v>478</v>
      </c>
      <c r="AB15" s="320"/>
      <c r="AC15" s="321"/>
    </row>
    <row r="16" spans="1:29" ht="12.75" customHeight="1" x14ac:dyDescent="0.15">
      <c r="A16" s="331"/>
      <c r="B16" s="303"/>
      <c r="C16" s="323"/>
      <c r="D16" s="305"/>
      <c r="E16" s="305"/>
      <c r="F16" s="305"/>
      <c r="G16" s="324"/>
      <c r="H16" s="325">
        <v>1.5000000000000002</v>
      </c>
      <c r="I16" s="323" t="s">
        <v>478</v>
      </c>
      <c r="J16" s="326"/>
      <c r="K16" s="325">
        <f>1.5*0.75</f>
        <v>1.125</v>
      </c>
      <c r="L16" s="323" t="s">
        <v>478</v>
      </c>
      <c r="M16" s="327"/>
      <c r="N16" s="328"/>
      <c r="O16" s="311"/>
      <c r="P16" s="332"/>
      <c r="Q16" s="330"/>
      <c r="R16" s="323"/>
      <c r="S16" s="305"/>
      <c r="T16" s="305"/>
      <c r="U16" s="305"/>
      <c r="V16" s="324"/>
      <c r="W16" s="325">
        <v>1.1000000000000001</v>
      </c>
      <c r="X16" s="323" t="s">
        <v>478</v>
      </c>
      <c r="Y16" s="326"/>
      <c r="Z16" s="325">
        <f>1.1*0.75</f>
        <v>0.82500000000000007</v>
      </c>
      <c r="AA16" s="323" t="s">
        <v>478</v>
      </c>
      <c r="AB16" s="327"/>
      <c r="AC16" s="328"/>
    </row>
    <row r="17" spans="1:29" ht="12.75" customHeight="1" x14ac:dyDescent="0.15">
      <c r="A17" s="329" t="s">
        <v>495</v>
      </c>
      <c r="B17" s="330" t="s">
        <v>486</v>
      </c>
      <c r="C17" s="334" t="s">
        <v>129</v>
      </c>
      <c r="D17" s="305" t="s">
        <v>496</v>
      </c>
      <c r="E17" s="305" t="s">
        <v>497</v>
      </c>
      <c r="F17" s="305" t="s">
        <v>498</v>
      </c>
      <c r="G17" s="182" t="s">
        <v>499</v>
      </c>
      <c r="H17" s="306">
        <v>432</v>
      </c>
      <c r="I17" s="304" t="s">
        <v>484</v>
      </c>
      <c r="J17" s="308" t="s">
        <v>500</v>
      </c>
      <c r="K17" s="306">
        <f>432*0.75</f>
        <v>324</v>
      </c>
      <c r="L17" s="304" t="s">
        <v>484</v>
      </c>
      <c r="M17" s="309" t="s">
        <v>500</v>
      </c>
      <c r="N17" s="310" t="s">
        <v>55</v>
      </c>
      <c r="O17" s="311"/>
      <c r="P17" s="312">
        <v>19</v>
      </c>
      <c r="Q17" s="312" t="s">
        <v>360</v>
      </c>
      <c r="R17" s="307" t="s">
        <v>23</v>
      </c>
      <c r="S17" s="305" t="s">
        <v>501</v>
      </c>
      <c r="T17" s="305" t="s">
        <v>502</v>
      </c>
      <c r="U17" s="305" t="s">
        <v>503</v>
      </c>
      <c r="V17" s="182" t="s">
        <v>504</v>
      </c>
      <c r="W17" s="306">
        <v>385</v>
      </c>
      <c r="X17" s="304" t="s">
        <v>484</v>
      </c>
      <c r="Y17" s="308" t="s">
        <v>36</v>
      </c>
      <c r="Z17" s="306">
        <f>385*0.75</f>
        <v>288.75</v>
      </c>
      <c r="AA17" s="304" t="s">
        <v>484</v>
      </c>
      <c r="AB17" s="309" t="s">
        <v>36</v>
      </c>
      <c r="AC17" s="310" t="s">
        <v>55</v>
      </c>
    </row>
    <row r="18" spans="1:29" ht="12.75" customHeight="1" x14ac:dyDescent="0.15">
      <c r="A18" s="332"/>
      <c r="B18" s="330"/>
      <c r="C18" s="318" t="s">
        <v>140</v>
      </c>
      <c r="D18" s="305"/>
      <c r="E18" s="305"/>
      <c r="F18" s="305"/>
      <c r="G18" s="316"/>
      <c r="H18" s="317">
        <v>12.6</v>
      </c>
      <c r="I18" s="318" t="s">
        <v>478</v>
      </c>
      <c r="J18" s="319"/>
      <c r="K18" s="317">
        <f>12.6*0.75</f>
        <v>9.4499999999999993</v>
      </c>
      <c r="L18" s="318" t="s">
        <v>478</v>
      </c>
      <c r="M18" s="320"/>
      <c r="N18" s="321" t="s">
        <v>505</v>
      </c>
      <c r="O18" s="311"/>
      <c r="P18" s="312"/>
      <c r="Q18" s="312"/>
      <c r="R18" s="335" t="s">
        <v>152</v>
      </c>
      <c r="S18" s="305"/>
      <c r="T18" s="305"/>
      <c r="U18" s="305"/>
      <c r="V18" s="316"/>
      <c r="W18" s="317">
        <v>19</v>
      </c>
      <c r="X18" s="318" t="s">
        <v>478</v>
      </c>
      <c r="Y18" s="319"/>
      <c r="Z18" s="317">
        <f>19*0.75</f>
        <v>14.25</v>
      </c>
      <c r="AA18" s="318" t="s">
        <v>478</v>
      </c>
      <c r="AB18" s="320"/>
      <c r="AC18" s="321" t="s">
        <v>506</v>
      </c>
    </row>
    <row r="19" spans="1:29" ht="12.75" customHeight="1" x14ac:dyDescent="0.15">
      <c r="A19" s="332"/>
      <c r="B19" s="330"/>
      <c r="C19" s="318" t="s">
        <v>145</v>
      </c>
      <c r="D19" s="305"/>
      <c r="E19" s="305"/>
      <c r="F19" s="305"/>
      <c r="G19" s="316"/>
      <c r="H19" s="317">
        <v>14.799999999999999</v>
      </c>
      <c r="I19" s="318" t="s">
        <v>478</v>
      </c>
      <c r="J19" s="319"/>
      <c r="K19" s="317">
        <f>14.8*0.75</f>
        <v>11.100000000000001</v>
      </c>
      <c r="L19" s="318" t="s">
        <v>478</v>
      </c>
      <c r="M19" s="320"/>
      <c r="N19" s="321"/>
      <c r="O19" s="311"/>
      <c r="P19" s="312"/>
      <c r="Q19" s="312"/>
      <c r="R19" s="318" t="s">
        <v>159</v>
      </c>
      <c r="S19" s="305"/>
      <c r="T19" s="305"/>
      <c r="U19" s="305"/>
      <c r="V19" s="316"/>
      <c r="W19" s="317">
        <v>7.9</v>
      </c>
      <c r="X19" s="318" t="s">
        <v>478</v>
      </c>
      <c r="Y19" s="319"/>
      <c r="Z19" s="317">
        <f>7.9*0.75</f>
        <v>5.9250000000000007</v>
      </c>
      <c r="AA19" s="318" t="s">
        <v>478</v>
      </c>
      <c r="AB19" s="320"/>
      <c r="AC19" s="321"/>
    </row>
    <row r="20" spans="1:29" ht="12.75" customHeight="1" x14ac:dyDescent="0.15">
      <c r="A20" s="332"/>
      <c r="B20" s="330"/>
      <c r="C20" s="318" t="s">
        <v>149</v>
      </c>
      <c r="D20" s="305"/>
      <c r="E20" s="305"/>
      <c r="F20" s="305"/>
      <c r="G20" s="316"/>
      <c r="H20" s="317">
        <v>60.000000000000007</v>
      </c>
      <c r="I20" s="318" t="s">
        <v>478</v>
      </c>
      <c r="J20" s="319"/>
      <c r="K20" s="317">
        <f>60*0.75</f>
        <v>45</v>
      </c>
      <c r="L20" s="318" t="s">
        <v>478</v>
      </c>
      <c r="M20" s="320"/>
      <c r="N20" s="321"/>
      <c r="O20" s="311"/>
      <c r="P20" s="312"/>
      <c r="Q20" s="312"/>
      <c r="R20" s="318" t="s">
        <v>43</v>
      </c>
      <c r="S20" s="305"/>
      <c r="T20" s="305"/>
      <c r="U20" s="305"/>
      <c r="V20" s="316"/>
      <c r="W20" s="317">
        <v>57.600000000000009</v>
      </c>
      <c r="X20" s="318" t="s">
        <v>478</v>
      </c>
      <c r="Y20" s="319"/>
      <c r="Z20" s="317">
        <f>57.6*0.75</f>
        <v>43.2</v>
      </c>
      <c r="AA20" s="318" t="s">
        <v>478</v>
      </c>
      <c r="AB20" s="320"/>
      <c r="AC20" s="321"/>
    </row>
    <row r="21" spans="1:29" ht="12.75" customHeight="1" x14ac:dyDescent="0.15">
      <c r="A21" s="332"/>
      <c r="B21" s="330"/>
      <c r="C21" s="323"/>
      <c r="D21" s="305"/>
      <c r="E21" s="305"/>
      <c r="F21" s="305"/>
      <c r="G21" s="324"/>
      <c r="H21" s="325">
        <v>1.8</v>
      </c>
      <c r="I21" s="323" t="s">
        <v>478</v>
      </c>
      <c r="J21" s="326"/>
      <c r="K21" s="325">
        <f>1.8*0.75</f>
        <v>1.35</v>
      </c>
      <c r="L21" s="323" t="s">
        <v>478</v>
      </c>
      <c r="M21" s="327"/>
      <c r="N21" s="328"/>
      <c r="O21" s="311"/>
      <c r="P21" s="312"/>
      <c r="Q21" s="312"/>
      <c r="R21" s="323"/>
      <c r="S21" s="305"/>
      <c r="T21" s="305"/>
      <c r="U21" s="305"/>
      <c r="V21" s="324"/>
      <c r="W21" s="325">
        <v>0.9</v>
      </c>
      <c r="X21" s="323" t="s">
        <v>478</v>
      </c>
      <c r="Y21" s="326"/>
      <c r="Z21" s="325">
        <f>0.9*0.75</f>
        <v>0.67500000000000004</v>
      </c>
      <c r="AA21" s="323" t="s">
        <v>478</v>
      </c>
      <c r="AB21" s="327"/>
      <c r="AC21" s="328"/>
    </row>
    <row r="22" spans="1:29" ht="12.75" customHeight="1" x14ac:dyDescent="0.15">
      <c r="A22" s="302">
        <v>5</v>
      </c>
      <c r="B22" s="303" t="s">
        <v>360</v>
      </c>
      <c r="C22" s="307" t="s">
        <v>23</v>
      </c>
      <c r="D22" s="305" t="s">
        <v>501</v>
      </c>
      <c r="E22" s="305" t="s">
        <v>502</v>
      </c>
      <c r="F22" s="305" t="s">
        <v>503</v>
      </c>
      <c r="G22" s="182" t="s">
        <v>504</v>
      </c>
      <c r="H22" s="306">
        <v>385</v>
      </c>
      <c r="I22" s="304" t="s">
        <v>484</v>
      </c>
      <c r="J22" s="308" t="s">
        <v>36</v>
      </c>
      <c r="K22" s="306">
        <f>385*0.75</f>
        <v>288.75</v>
      </c>
      <c r="L22" s="304" t="s">
        <v>484</v>
      </c>
      <c r="M22" s="309" t="s">
        <v>36</v>
      </c>
      <c r="N22" s="310" t="s">
        <v>55</v>
      </c>
      <c r="O22" s="311"/>
      <c r="P22" s="312">
        <v>20</v>
      </c>
      <c r="Q22" s="312" t="s">
        <v>375</v>
      </c>
      <c r="R22" s="307" t="s">
        <v>119</v>
      </c>
      <c r="S22" s="305" t="s">
        <v>507</v>
      </c>
      <c r="T22" s="305" t="s">
        <v>508</v>
      </c>
      <c r="U22" s="305" t="s">
        <v>509</v>
      </c>
      <c r="V22" s="182" t="s">
        <v>510</v>
      </c>
      <c r="W22" s="306">
        <v>370</v>
      </c>
      <c r="X22" s="304" t="s">
        <v>484</v>
      </c>
      <c r="Y22" s="308" t="s">
        <v>511</v>
      </c>
      <c r="Z22" s="306">
        <f>370*0.75</f>
        <v>277.5</v>
      </c>
      <c r="AA22" s="304" t="s">
        <v>484</v>
      </c>
      <c r="AB22" s="309" t="s">
        <v>511</v>
      </c>
      <c r="AC22" s="310" t="s">
        <v>55</v>
      </c>
    </row>
    <row r="23" spans="1:29" ht="12.75" customHeight="1" x14ac:dyDescent="0.15">
      <c r="A23" s="331"/>
      <c r="B23" s="303"/>
      <c r="C23" s="335" t="s">
        <v>152</v>
      </c>
      <c r="D23" s="305"/>
      <c r="E23" s="305"/>
      <c r="F23" s="305"/>
      <c r="G23" s="316"/>
      <c r="H23" s="317">
        <v>19</v>
      </c>
      <c r="I23" s="318" t="s">
        <v>478</v>
      </c>
      <c r="J23" s="319"/>
      <c r="K23" s="317">
        <f>19*0.75</f>
        <v>14.25</v>
      </c>
      <c r="L23" s="318" t="s">
        <v>478</v>
      </c>
      <c r="M23" s="320"/>
      <c r="N23" s="321" t="s">
        <v>512</v>
      </c>
      <c r="O23" s="311"/>
      <c r="P23" s="312"/>
      <c r="Q23" s="312"/>
      <c r="R23" s="314" t="s">
        <v>168</v>
      </c>
      <c r="S23" s="305"/>
      <c r="T23" s="305"/>
      <c r="U23" s="305"/>
      <c r="V23" s="316"/>
      <c r="W23" s="317">
        <v>10.5</v>
      </c>
      <c r="X23" s="318" t="s">
        <v>478</v>
      </c>
      <c r="Y23" s="319"/>
      <c r="Z23" s="317">
        <f>10.5*0.75</f>
        <v>7.875</v>
      </c>
      <c r="AA23" s="318" t="s">
        <v>478</v>
      </c>
      <c r="AB23" s="320"/>
      <c r="AC23" s="321" t="s">
        <v>513</v>
      </c>
    </row>
    <row r="24" spans="1:29" ht="12.75" customHeight="1" x14ac:dyDescent="0.15">
      <c r="A24" s="331"/>
      <c r="B24" s="303"/>
      <c r="C24" s="318" t="s">
        <v>159</v>
      </c>
      <c r="D24" s="305"/>
      <c r="E24" s="305"/>
      <c r="F24" s="305"/>
      <c r="G24" s="316"/>
      <c r="H24" s="317">
        <v>7.9</v>
      </c>
      <c r="I24" s="318" t="s">
        <v>478</v>
      </c>
      <c r="J24" s="319"/>
      <c r="K24" s="317">
        <f>7.9*0.75</f>
        <v>5.9250000000000007</v>
      </c>
      <c r="L24" s="318" t="s">
        <v>478</v>
      </c>
      <c r="M24" s="320"/>
      <c r="N24" s="321"/>
      <c r="O24" s="311"/>
      <c r="P24" s="312"/>
      <c r="Q24" s="312"/>
      <c r="R24" s="318" t="s">
        <v>174</v>
      </c>
      <c r="S24" s="305"/>
      <c r="T24" s="305"/>
      <c r="U24" s="305"/>
      <c r="V24" s="316"/>
      <c r="W24" s="317">
        <v>10.7</v>
      </c>
      <c r="X24" s="318" t="s">
        <v>478</v>
      </c>
      <c r="Y24" s="319"/>
      <c r="Z24" s="317">
        <f>10.7*0.75</f>
        <v>8.0249999999999986</v>
      </c>
      <c r="AA24" s="318" t="s">
        <v>478</v>
      </c>
      <c r="AB24" s="320"/>
      <c r="AC24" s="321" t="s">
        <v>514</v>
      </c>
    </row>
    <row r="25" spans="1:29" ht="12.75" customHeight="1" x14ac:dyDescent="0.15">
      <c r="A25" s="331"/>
      <c r="B25" s="303"/>
      <c r="C25" s="318" t="s">
        <v>43</v>
      </c>
      <c r="D25" s="305"/>
      <c r="E25" s="305"/>
      <c r="F25" s="305"/>
      <c r="G25" s="316"/>
      <c r="H25" s="317">
        <v>57.600000000000009</v>
      </c>
      <c r="I25" s="318" t="s">
        <v>478</v>
      </c>
      <c r="J25" s="319"/>
      <c r="K25" s="317">
        <f>57.6*0.75</f>
        <v>43.2</v>
      </c>
      <c r="L25" s="318" t="s">
        <v>478</v>
      </c>
      <c r="M25" s="320"/>
      <c r="N25" s="321"/>
      <c r="O25" s="311"/>
      <c r="P25" s="312"/>
      <c r="Q25" s="312"/>
      <c r="R25" s="318" t="s">
        <v>43</v>
      </c>
      <c r="S25" s="305"/>
      <c r="T25" s="305"/>
      <c r="U25" s="305"/>
      <c r="V25" s="316"/>
      <c r="W25" s="317">
        <v>56.399999999999991</v>
      </c>
      <c r="X25" s="318" t="s">
        <v>478</v>
      </c>
      <c r="Y25" s="319"/>
      <c r="Z25" s="317">
        <f>56.4*0.75</f>
        <v>42.3</v>
      </c>
      <c r="AA25" s="318" t="s">
        <v>478</v>
      </c>
      <c r="AB25" s="320"/>
      <c r="AC25" s="321"/>
    </row>
    <row r="26" spans="1:29" ht="12.75" customHeight="1" x14ac:dyDescent="0.15">
      <c r="A26" s="331"/>
      <c r="B26" s="303"/>
      <c r="C26" s="323"/>
      <c r="D26" s="305"/>
      <c r="E26" s="305"/>
      <c r="F26" s="305"/>
      <c r="G26" s="324"/>
      <c r="H26" s="325">
        <v>0.9</v>
      </c>
      <c r="I26" s="323" t="s">
        <v>478</v>
      </c>
      <c r="J26" s="326"/>
      <c r="K26" s="325">
        <f>0.9*0.75</f>
        <v>0.67500000000000004</v>
      </c>
      <c r="L26" s="323" t="s">
        <v>478</v>
      </c>
      <c r="M26" s="327"/>
      <c r="N26" s="328" t="s">
        <v>515</v>
      </c>
      <c r="O26" s="311"/>
      <c r="P26" s="312"/>
      <c r="Q26" s="312"/>
      <c r="R26" s="323" t="s">
        <v>260</v>
      </c>
      <c r="S26" s="305"/>
      <c r="T26" s="305"/>
      <c r="U26" s="305"/>
      <c r="V26" s="324"/>
      <c r="W26" s="325">
        <v>1</v>
      </c>
      <c r="X26" s="323" t="s">
        <v>478</v>
      </c>
      <c r="Y26" s="326"/>
      <c r="Z26" s="325">
        <f>1*0.75</f>
        <v>0.75</v>
      </c>
      <c r="AA26" s="323" t="s">
        <v>478</v>
      </c>
      <c r="AB26" s="327"/>
      <c r="AC26" s="328"/>
    </row>
    <row r="27" spans="1:29" ht="12.75" customHeight="1" x14ac:dyDescent="0.15">
      <c r="A27" s="312">
        <v>6</v>
      </c>
      <c r="B27" s="303" t="s">
        <v>375</v>
      </c>
      <c r="C27" s="307" t="s">
        <v>119</v>
      </c>
      <c r="D27" s="305" t="s">
        <v>507</v>
      </c>
      <c r="E27" s="305" t="s">
        <v>516</v>
      </c>
      <c r="F27" s="305" t="s">
        <v>517</v>
      </c>
      <c r="G27" s="182" t="s">
        <v>510</v>
      </c>
      <c r="H27" s="306">
        <v>390</v>
      </c>
      <c r="I27" s="304" t="s">
        <v>484</v>
      </c>
      <c r="J27" s="308" t="s">
        <v>518</v>
      </c>
      <c r="K27" s="306">
        <f>390*0.75</f>
        <v>292.5</v>
      </c>
      <c r="L27" s="304" t="s">
        <v>484</v>
      </c>
      <c r="M27" s="309" t="s">
        <v>518</v>
      </c>
      <c r="N27" s="310" t="s">
        <v>55</v>
      </c>
      <c r="O27" s="311"/>
      <c r="P27" s="312">
        <v>21</v>
      </c>
      <c r="Q27" s="312" t="s">
        <v>385</v>
      </c>
      <c r="R27" s="307" t="s">
        <v>519</v>
      </c>
      <c r="S27" s="305" t="s">
        <v>520</v>
      </c>
      <c r="T27" s="305" t="s">
        <v>521</v>
      </c>
      <c r="U27" s="305" t="s">
        <v>522</v>
      </c>
      <c r="V27" s="182" t="s">
        <v>523</v>
      </c>
      <c r="W27" s="306"/>
      <c r="X27" s="304"/>
      <c r="Y27" s="308"/>
      <c r="Z27" s="306"/>
      <c r="AA27" s="304" t="s">
        <v>484</v>
      </c>
      <c r="AB27" s="309"/>
      <c r="AC27" s="310" t="s">
        <v>55</v>
      </c>
    </row>
    <row r="28" spans="1:29" ht="12.75" customHeight="1" x14ac:dyDescent="0.15">
      <c r="A28" s="336"/>
      <c r="B28" s="303"/>
      <c r="C28" s="314" t="s">
        <v>168</v>
      </c>
      <c r="D28" s="305"/>
      <c r="E28" s="305"/>
      <c r="F28" s="305"/>
      <c r="G28" s="316"/>
      <c r="H28" s="317">
        <v>11.8</v>
      </c>
      <c r="I28" s="318" t="s">
        <v>478</v>
      </c>
      <c r="J28" s="319"/>
      <c r="K28" s="317">
        <f>11.8*0.75</f>
        <v>8.8500000000000014</v>
      </c>
      <c r="L28" s="318" t="s">
        <v>478</v>
      </c>
      <c r="M28" s="320"/>
      <c r="N28" s="321" t="s">
        <v>524</v>
      </c>
      <c r="O28" s="311"/>
      <c r="P28" s="312"/>
      <c r="Q28" s="312"/>
      <c r="R28" s="318" t="s">
        <v>525</v>
      </c>
      <c r="S28" s="305"/>
      <c r="T28" s="305"/>
      <c r="U28" s="305"/>
      <c r="V28" s="316"/>
      <c r="W28" s="317"/>
      <c r="X28" s="318"/>
      <c r="Y28" s="319"/>
      <c r="Z28" s="317"/>
      <c r="AA28" s="318" t="s">
        <v>478</v>
      </c>
      <c r="AB28" s="320"/>
      <c r="AC28" s="321" t="s">
        <v>526</v>
      </c>
    </row>
    <row r="29" spans="1:29" ht="12.75" customHeight="1" x14ac:dyDescent="0.15">
      <c r="A29" s="336"/>
      <c r="B29" s="303"/>
      <c r="C29" s="318" t="s">
        <v>174</v>
      </c>
      <c r="D29" s="305"/>
      <c r="E29" s="305"/>
      <c r="F29" s="305"/>
      <c r="G29" s="316"/>
      <c r="H29" s="317">
        <v>11.899999999999999</v>
      </c>
      <c r="I29" s="318" t="s">
        <v>478</v>
      </c>
      <c r="J29" s="319"/>
      <c r="K29" s="317">
        <f>11.9*0.75</f>
        <v>8.9250000000000007</v>
      </c>
      <c r="L29" s="318" t="s">
        <v>478</v>
      </c>
      <c r="M29" s="320"/>
      <c r="N29" s="321" t="s">
        <v>527</v>
      </c>
      <c r="O29" s="311"/>
      <c r="P29" s="312"/>
      <c r="Q29" s="312"/>
      <c r="R29" s="318" t="s">
        <v>528</v>
      </c>
      <c r="S29" s="305"/>
      <c r="T29" s="305"/>
      <c r="U29" s="305"/>
      <c r="V29" s="316"/>
      <c r="W29" s="317"/>
      <c r="X29" s="318"/>
      <c r="Y29" s="319"/>
      <c r="Z29" s="317"/>
      <c r="AA29" s="318" t="s">
        <v>478</v>
      </c>
      <c r="AB29" s="320"/>
      <c r="AC29" s="321" t="s">
        <v>527</v>
      </c>
    </row>
    <row r="30" spans="1:29" ht="12.75" customHeight="1" x14ac:dyDescent="0.15">
      <c r="A30" s="336"/>
      <c r="B30" s="303"/>
      <c r="C30" s="318" t="s">
        <v>43</v>
      </c>
      <c r="D30" s="305"/>
      <c r="E30" s="305"/>
      <c r="F30" s="305"/>
      <c r="G30" s="316"/>
      <c r="H30" s="317">
        <v>56.999999999999993</v>
      </c>
      <c r="I30" s="318" t="s">
        <v>478</v>
      </c>
      <c r="J30" s="319"/>
      <c r="K30" s="317">
        <f>57*0.75</f>
        <v>42.75</v>
      </c>
      <c r="L30" s="318" t="s">
        <v>478</v>
      </c>
      <c r="M30" s="320"/>
      <c r="N30" s="321"/>
      <c r="O30" s="311"/>
      <c r="P30" s="312"/>
      <c r="Q30" s="312"/>
      <c r="R30" s="318"/>
      <c r="S30" s="305"/>
      <c r="T30" s="305"/>
      <c r="U30" s="305"/>
      <c r="V30" s="316"/>
      <c r="W30" s="317"/>
      <c r="X30" s="318"/>
      <c r="Y30" s="319"/>
      <c r="Z30" s="317"/>
      <c r="AA30" s="318" t="s">
        <v>478</v>
      </c>
      <c r="AB30" s="320"/>
      <c r="AC30" s="321"/>
    </row>
    <row r="31" spans="1:29" ht="12.75" customHeight="1" x14ac:dyDescent="0.15">
      <c r="A31" s="336"/>
      <c r="B31" s="303"/>
      <c r="C31" s="323" t="s">
        <v>47</v>
      </c>
      <c r="D31" s="305"/>
      <c r="E31" s="305"/>
      <c r="F31" s="305"/>
      <c r="G31" s="324"/>
      <c r="H31" s="325">
        <v>1</v>
      </c>
      <c r="I31" s="323" t="s">
        <v>478</v>
      </c>
      <c r="J31" s="326"/>
      <c r="K31" s="325">
        <f>1*0.75</f>
        <v>0.75</v>
      </c>
      <c r="L31" s="323" t="s">
        <v>478</v>
      </c>
      <c r="M31" s="327"/>
      <c r="N31" s="328" t="s">
        <v>529</v>
      </c>
      <c r="O31" s="311"/>
      <c r="P31" s="312"/>
      <c r="Q31" s="312"/>
      <c r="R31" s="323"/>
      <c r="S31" s="305"/>
      <c r="T31" s="305"/>
      <c r="U31" s="305"/>
      <c r="V31" s="324"/>
      <c r="W31" s="325"/>
      <c r="X31" s="323"/>
      <c r="Y31" s="326"/>
      <c r="Z31" s="325"/>
      <c r="AA31" s="323" t="s">
        <v>478</v>
      </c>
      <c r="AB31" s="327"/>
      <c r="AC31" s="328"/>
    </row>
    <row r="32" spans="1:29" ht="12.75" customHeight="1" x14ac:dyDescent="0.15">
      <c r="A32" s="312">
        <v>7</v>
      </c>
      <c r="B32" s="303" t="s">
        <v>385</v>
      </c>
      <c r="C32" s="307" t="s">
        <v>519</v>
      </c>
      <c r="D32" s="305" t="s">
        <v>520</v>
      </c>
      <c r="E32" s="305" t="s">
        <v>521</v>
      </c>
      <c r="F32" s="305" t="s">
        <v>522</v>
      </c>
      <c r="G32" s="182" t="s">
        <v>523</v>
      </c>
      <c r="H32" s="306"/>
      <c r="I32" s="304"/>
      <c r="J32" s="308"/>
      <c r="K32" s="306">
        <v>261</v>
      </c>
      <c r="L32" s="304" t="s">
        <v>484</v>
      </c>
      <c r="M32" s="309"/>
      <c r="N32" s="310" t="s">
        <v>55</v>
      </c>
      <c r="O32" s="311"/>
      <c r="P32" s="337"/>
      <c r="Q32" s="338"/>
      <c r="R32" s="338"/>
      <c r="S32" s="338"/>
      <c r="T32" s="338"/>
      <c r="U32" s="338"/>
      <c r="V32" s="338"/>
      <c r="W32" s="338"/>
      <c r="X32" s="338"/>
      <c r="Y32" s="338"/>
      <c r="Z32" s="338"/>
      <c r="AA32" s="338"/>
      <c r="AB32" s="338"/>
      <c r="AC32" s="339"/>
    </row>
    <row r="33" spans="1:29" ht="12.75" customHeight="1" x14ac:dyDescent="0.15">
      <c r="A33" s="336"/>
      <c r="B33" s="303"/>
      <c r="C33" s="318" t="s">
        <v>530</v>
      </c>
      <c r="D33" s="305"/>
      <c r="E33" s="305"/>
      <c r="F33" s="305"/>
      <c r="G33" s="316"/>
      <c r="H33" s="317"/>
      <c r="I33" s="318"/>
      <c r="J33" s="319"/>
      <c r="K33" s="317">
        <v>7.3</v>
      </c>
      <c r="L33" s="318" t="s">
        <v>478</v>
      </c>
      <c r="M33" s="320"/>
      <c r="N33" s="321" t="s">
        <v>513</v>
      </c>
      <c r="O33" s="311"/>
      <c r="P33" s="340"/>
      <c r="Q33" s="341"/>
      <c r="R33" s="341"/>
      <c r="S33" s="341"/>
      <c r="T33" s="341"/>
      <c r="U33" s="341"/>
      <c r="V33" s="341"/>
      <c r="W33" s="341"/>
      <c r="X33" s="341"/>
      <c r="Y33" s="341"/>
      <c r="Z33" s="341"/>
      <c r="AA33" s="341"/>
      <c r="AB33" s="341"/>
      <c r="AC33" s="342"/>
    </row>
    <row r="34" spans="1:29" ht="12.75" customHeight="1" x14ac:dyDescent="0.15">
      <c r="A34" s="336"/>
      <c r="B34" s="303"/>
      <c r="C34" s="318" t="s">
        <v>528</v>
      </c>
      <c r="D34" s="305"/>
      <c r="E34" s="305"/>
      <c r="F34" s="305"/>
      <c r="G34" s="316"/>
      <c r="H34" s="317"/>
      <c r="I34" s="318"/>
      <c r="J34" s="319"/>
      <c r="K34" s="317">
        <v>6.4</v>
      </c>
      <c r="L34" s="318" t="s">
        <v>478</v>
      </c>
      <c r="M34" s="320"/>
      <c r="N34" s="321" t="s">
        <v>514</v>
      </c>
      <c r="O34" s="311"/>
      <c r="P34" s="312">
        <v>23</v>
      </c>
      <c r="Q34" s="312" t="s">
        <v>324</v>
      </c>
      <c r="R34" s="313" t="s">
        <v>186</v>
      </c>
      <c r="S34" s="305" t="s">
        <v>468</v>
      </c>
      <c r="T34" s="305" t="s">
        <v>531</v>
      </c>
      <c r="U34" s="305" t="s">
        <v>532</v>
      </c>
      <c r="V34" s="182" t="s">
        <v>533</v>
      </c>
      <c r="W34" s="306">
        <v>453</v>
      </c>
      <c r="X34" s="304" t="s">
        <v>484</v>
      </c>
      <c r="Y34" s="308" t="s">
        <v>36</v>
      </c>
      <c r="Z34" s="306">
        <f>453*0.75</f>
        <v>339.75</v>
      </c>
      <c r="AA34" s="304" t="s">
        <v>484</v>
      </c>
      <c r="AB34" s="309" t="s">
        <v>36</v>
      </c>
      <c r="AC34" s="310" t="s">
        <v>55</v>
      </c>
    </row>
    <row r="35" spans="1:29" ht="12.75" customHeight="1" x14ac:dyDescent="0.15">
      <c r="A35" s="336"/>
      <c r="B35" s="303"/>
      <c r="C35" s="318"/>
      <c r="D35" s="305"/>
      <c r="E35" s="305"/>
      <c r="F35" s="305"/>
      <c r="G35" s="316"/>
      <c r="H35" s="317"/>
      <c r="I35" s="318"/>
      <c r="J35" s="319"/>
      <c r="K35" s="317">
        <v>47.1</v>
      </c>
      <c r="L35" s="318" t="s">
        <v>478</v>
      </c>
      <c r="M35" s="320"/>
      <c r="N35" s="321"/>
      <c r="O35" s="311"/>
      <c r="P35" s="312"/>
      <c r="Q35" s="312"/>
      <c r="R35" s="318" t="s">
        <v>193</v>
      </c>
      <c r="S35" s="305"/>
      <c r="T35" s="305"/>
      <c r="U35" s="305"/>
      <c r="V35" s="316"/>
      <c r="W35" s="317">
        <v>15.199999999999998</v>
      </c>
      <c r="X35" s="318" t="s">
        <v>478</v>
      </c>
      <c r="Y35" s="319"/>
      <c r="Z35" s="317">
        <f>15.2*0.75</f>
        <v>11.399999999999999</v>
      </c>
      <c r="AA35" s="318" t="s">
        <v>478</v>
      </c>
      <c r="AB35" s="320"/>
      <c r="AC35" s="321" t="s">
        <v>534</v>
      </c>
    </row>
    <row r="36" spans="1:29" ht="12.75" customHeight="1" x14ac:dyDescent="0.15">
      <c r="A36" s="336"/>
      <c r="B36" s="303"/>
      <c r="C36" s="323"/>
      <c r="D36" s="305"/>
      <c r="E36" s="305"/>
      <c r="F36" s="305"/>
      <c r="G36" s="324"/>
      <c r="H36" s="325"/>
      <c r="I36" s="323"/>
      <c r="J36" s="326"/>
      <c r="K36" s="325">
        <v>1</v>
      </c>
      <c r="L36" s="323" t="s">
        <v>478</v>
      </c>
      <c r="M36" s="327"/>
      <c r="N36" s="328"/>
      <c r="O36" s="311"/>
      <c r="P36" s="312"/>
      <c r="Q36" s="312"/>
      <c r="R36" s="318" t="s">
        <v>197</v>
      </c>
      <c r="S36" s="305"/>
      <c r="T36" s="305"/>
      <c r="U36" s="305"/>
      <c r="V36" s="316"/>
      <c r="W36" s="317">
        <v>13.999999999999998</v>
      </c>
      <c r="X36" s="318" t="s">
        <v>478</v>
      </c>
      <c r="Y36" s="319"/>
      <c r="Z36" s="317">
        <f>14*0.75</f>
        <v>10.5</v>
      </c>
      <c r="AA36" s="318" t="s">
        <v>478</v>
      </c>
      <c r="AB36" s="320"/>
      <c r="AC36" s="321"/>
    </row>
    <row r="37" spans="1:29" ht="12.75" customHeight="1" x14ac:dyDescent="0.15">
      <c r="A37" s="337"/>
      <c r="B37" s="338"/>
      <c r="C37" s="338"/>
      <c r="D37" s="338"/>
      <c r="E37" s="338"/>
      <c r="F37" s="338"/>
      <c r="G37" s="338"/>
      <c r="H37" s="338"/>
      <c r="I37" s="338"/>
      <c r="J37" s="338"/>
      <c r="K37" s="338"/>
      <c r="L37" s="338"/>
      <c r="M37" s="338"/>
      <c r="N37" s="339"/>
      <c r="O37" s="311"/>
      <c r="P37" s="312"/>
      <c r="Q37" s="312"/>
      <c r="R37" s="318"/>
      <c r="S37" s="305"/>
      <c r="T37" s="305"/>
      <c r="U37" s="305"/>
      <c r="V37" s="316"/>
      <c r="W37" s="317">
        <v>63.099999999999994</v>
      </c>
      <c r="X37" s="318" t="s">
        <v>478</v>
      </c>
      <c r="Y37" s="319"/>
      <c r="Z37" s="317">
        <f>63.1*0.75</f>
        <v>47.325000000000003</v>
      </c>
      <c r="AA37" s="318" t="s">
        <v>478</v>
      </c>
      <c r="AB37" s="320"/>
      <c r="AC37" s="321"/>
    </row>
    <row r="38" spans="1:29" ht="12.75" customHeight="1" x14ac:dyDescent="0.15">
      <c r="A38" s="340"/>
      <c r="B38" s="341"/>
      <c r="C38" s="341"/>
      <c r="D38" s="341"/>
      <c r="E38" s="341"/>
      <c r="F38" s="341"/>
      <c r="G38" s="341"/>
      <c r="H38" s="341"/>
      <c r="I38" s="341"/>
      <c r="J38" s="341"/>
      <c r="K38" s="341"/>
      <c r="L38" s="341"/>
      <c r="M38" s="341"/>
      <c r="N38" s="342"/>
      <c r="O38" s="311"/>
      <c r="P38" s="312"/>
      <c r="Q38" s="312"/>
      <c r="R38" s="323"/>
      <c r="S38" s="305"/>
      <c r="T38" s="305"/>
      <c r="U38" s="305"/>
      <c r="V38" s="324"/>
      <c r="W38" s="325">
        <v>1.2000000000000002</v>
      </c>
      <c r="X38" s="323" t="s">
        <v>478</v>
      </c>
      <c r="Y38" s="326"/>
      <c r="Z38" s="325">
        <f>1.2*0.75</f>
        <v>0.89999999999999991</v>
      </c>
      <c r="AA38" s="323" t="s">
        <v>478</v>
      </c>
      <c r="AB38" s="327"/>
      <c r="AC38" s="328" t="s">
        <v>535</v>
      </c>
    </row>
    <row r="39" spans="1:29" ht="12.75" customHeight="1" x14ac:dyDescent="0.15">
      <c r="A39" s="337"/>
      <c r="B39" s="338"/>
      <c r="C39" s="338"/>
      <c r="D39" s="338"/>
      <c r="E39" s="338"/>
      <c r="F39" s="338"/>
      <c r="G39" s="338"/>
      <c r="H39" s="338"/>
      <c r="I39" s="338"/>
      <c r="J39" s="338"/>
      <c r="K39" s="338"/>
      <c r="L39" s="338"/>
      <c r="M39" s="338"/>
      <c r="N39" s="339"/>
      <c r="O39" s="311"/>
      <c r="P39" s="312">
        <v>24</v>
      </c>
      <c r="Q39" s="312" t="s">
        <v>329</v>
      </c>
      <c r="R39" s="307" t="s">
        <v>23</v>
      </c>
      <c r="S39" s="305" t="s">
        <v>536</v>
      </c>
      <c r="T39" s="305" t="s">
        <v>537</v>
      </c>
      <c r="U39" s="305" t="s">
        <v>538</v>
      </c>
      <c r="V39" s="182" t="s">
        <v>539</v>
      </c>
      <c r="W39" s="306">
        <v>384</v>
      </c>
      <c r="X39" s="304" t="s">
        <v>484</v>
      </c>
      <c r="Y39" s="308" t="s">
        <v>36</v>
      </c>
      <c r="Z39" s="306">
        <f>384*0.75</f>
        <v>288</v>
      </c>
      <c r="AA39" s="304" t="s">
        <v>484</v>
      </c>
      <c r="AB39" s="309" t="s">
        <v>36</v>
      </c>
      <c r="AC39" s="310" t="s">
        <v>55</v>
      </c>
    </row>
    <row r="40" spans="1:29" ht="12.75" customHeight="1" x14ac:dyDescent="0.15">
      <c r="A40" s="340"/>
      <c r="B40" s="341"/>
      <c r="C40" s="341"/>
      <c r="D40" s="341"/>
      <c r="E40" s="341"/>
      <c r="F40" s="341"/>
      <c r="G40" s="341"/>
      <c r="H40" s="341"/>
      <c r="I40" s="341"/>
      <c r="J40" s="341"/>
      <c r="K40" s="341"/>
      <c r="L40" s="341"/>
      <c r="M40" s="341"/>
      <c r="N40" s="342"/>
      <c r="O40" s="311"/>
      <c r="P40" s="312"/>
      <c r="Q40" s="312"/>
      <c r="R40" s="335" t="s">
        <v>205</v>
      </c>
      <c r="S40" s="305"/>
      <c r="T40" s="305"/>
      <c r="U40" s="305"/>
      <c r="V40" s="316"/>
      <c r="W40" s="317">
        <v>13.299999999999997</v>
      </c>
      <c r="X40" s="318" t="s">
        <v>478</v>
      </c>
      <c r="Y40" s="319"/>
      <c r="Z40" s="317">
        <f>13.3*0.75</f>
        <v>9.9750000000000014</v>
      </c>
      <c r="AA40" s="318" t="s">
        <v>478</v>
      </c>
      <c r="AB40" s="320"/>
      <c r="AC40" s="321" t="s">
        <v>505</v>
      </c>
    </row>
    <row r="41" spans="1:29" ht="12.75" customHeight="1" x14ac:dyDescent="0.15">
      <c r="A41" s="312">
        <v>10</v>
      </c>
      <c r="B41" s="303" t="s">
        <v>329</v>
      </c>
      <c r="C41" s="307" t="s">
        <v>23</v>
      </c>
      <c r="D41" s="305" t="s">
        <v>536</v>
      </c>
      <c r="E41" s="305" t="s">
        <v>537</v>
      </c>
      <c r="F41" s="305" t="s">
        <v>540</v>
      </c>
      <c r="G41" s="182" t="s">
        <v>539</v>
      </c>
      <c r="H41" s="306">
        <v>380</v>
      </c>
      <c r="I41" s="304" t="s">
        <v>484</v>
      </c>
      <c r="J41" s="308" t="s">
        <v>36</v>
      </c>
      <c r="K41" s="306">
        <f>380*0.75</f>
        <v>285</v>
      </c>
      <c r="L41" s="304" t="s">
        <v>484</v>
      </c>
      <c r="M41" s="309" t="s">
        <v>36</v>
      </c>
      <c r="N41" s="310" t="s">
        <v>55</v>
      </c>
      <c r="O41" s="311"/>
      <c r="P41" s="312"/>
      <c r="Q41" s="312"/>
      <c r="R41" s="318" t="s">
        <v>209</v>
      </c>
      <c r="S41" s="305"/>
      <c r="T41" s="305"/>
      <c r="U41" s="305"/>
      <c r="V41" s="316"/>
      <c r="W41" s="317">
        <v>10.199999999999998</v>
      </c>
      <c r="X41" s="318" t="s">
        <v>478</v>
      </c>
      <c r="Y41" s="319"/>
      <c r="Z41" s="317">
        <f>10.2*0.75</f>
        <v>7.6499999999999995</v>
      </c>
      <c r="AA41" s="318" t="s">
        <v>478</v>
      </c>
      <c r="AB41" s="320"/>
      <c r="AC41" s="321"/>
    </row>
    <row r="42" spans="1:29" ht="12.75" customHeight="1" x14ac:dyDescent="0.15">
      <c r="A42" s="336"/>
      <c r="B42" s="303"/>
      <c r="C42" s="335" t="s">
        <v>205</v>
      </c>
      <c r="D42" s="305"/>
      <c r="E42" s="305"/>
      <c r="F42" s="305"/>
      <c r="G42" s="316"/>
      <c r="H42" s="317">
        <v>13.399999999999997</v>
      </c>
      <c r="I42" s="318" t="s">
        <v>478</v>
      </c>
      <c r="J42" s="319"/>
      <c r="K42" s="317">
        <f>13.4*0.75</f>
        <v>10.050000000000001</v>
      </c>
      <c r="L42" s="318" t="s">
        <v>478</v>
      </c>
      <c r="M42" s="320"/>
      <c r="N42" s="321" t="s">
        <v>541</v>
      </c>
      <c r="O42" s="311"/>
      <c r="P42" s="312"/>
      <c r="Q42" s="312"/>
      <c r="R42" s="318" t="s">
        <v>43</v>
      </c>
      <c r="S42" s="305"/>
      <c r="T42" s="305"/>
      <c r="U42" s="305"/>
      <c r="V42" s="316"/>
      <c r="W42" s="317">
        <v>58.000000000000007</v>
      </c>
      <c r="X42" s="318" t="s">
        <v>478</v>
      </c>
      <c r="Y42" s="319"/>
      <c r="Z42" s="317">
        <f>58*0.75</f>
        <v>43.5</v>
      </c>
      <c r="AA42" s="318" t="s">
        <v>478</v>
      </c>
      <c r="AB42" s="320"/>
      <c r="AC42" s="321"/>
    </row>
    <row r="43" spans="1:29" ht="12.75" customHeight="1" x14ac:dyDescent="0.15">
      <c r="A43" s="336"/>
      <c r="B43" s="303"/>
      <c r="C43" s="318" t="s">
        <v>209</v>
      </c>
      <c r="D43" s="305"/>
      <c r="E43" s="305"/>
      <c r="F43" s="305"/>
      <c r="G43" s="316"/>
      <c r="H43" s="317">
        <v>10.199999999999998</v>
      </c>
      <c r="I43" s="318" t="s">
        <v>478</v>
      </c>
      <c r="J43" s="319"/>
      <c r="K43" s="317">
        <f>10.2*0.75</f>
        <v>7.6499999999999995</v>
      </c>
      <c r="L43" s="318" t="s">
        <v>478</v>
      </c>
      <c r="M43" s="320"/>
      <c r="N43" s="321"/>
      <c r="O43" s="311"/>
      <c r="P43" s="312"/>
      <c r="Q43" s="312"/>
      <c r="R43" s="323"/>
      <c r="S43" s="305"/>
      <c r="T43" s="305"/>
      <c r="U43" s="305"/>
      <c r="V43" s="324"/>
      <c r="W43" s="325">
        <v>1.1000000000000001</v>
      </c>
      <c r="X43" s="323" t="s">
        <v>478</v>
      </c>
      <c r="Y43" s="326"/>
      <c r="Z43" s="325">
        <f>1.1*0.75</f>
        <v>0.82500000000000007</v>
      </c>
      <c r="AA43" s="323" t="s">
        <v>478</v>
      </c>
      <c r="AB43" s="327"/>
      <c r="AC43" s="328"/>
    </row>
    <row r="44" spans="1:29" ht="12.75" customHeight="1" x14ac:dyDescent="0.15">
      <c r="A44" s="336"/>
      <c r="B44" s="303"/>
      <c r="C44" s="318" t="s">
        <v>43</v>
      </c>
      <c r="D44" s="305"/>
      <c r="E44" s="305"/>
      <c r="F44" s="305"/>
      <c r="G44" s="316"/>
      <c r="H44" s="317">
        <v>57.000000000000007</v>
      </c>
      <c r="I44" s="318" t="s">
        <v>478</v>
      </c>
      <c r="J44" s="319"/>
      <c r="K44" s="317">
        <f>57*0.75</f>
        <v>42.75</v>
      </c>
      <c r="L44" s="318" t="s">
        <v>478</v>
      </c>
      <c r="M44" s="320"/>
      <c r="N44" s="321"/>
      <c r="O44" s="311"/>
      <c r="P44" s="312">
        <v>25</v>
      </c>
      <c r="Q44" s="312" t="s">
        <v>53</v>
      </c>
      <c r="R44" s="343" t="s">
        <v>215</v>
      </c>
      <c r="S44" s="305" t="s">
        <v>542</v>
      </c>
      <c r="T44" s="305" t="s">
        <v>483</v>
      </c>
      <c r="U44" s="305" t="s">
        <v>543</v>
      </c>
      <c r="V44" s="182" t="s">
        <v>544</v>
      </c>
      <c r="W44" s="306">
        <v>350</v>
      </c>
      <c r="X44" s="304" t="s">
        <v>484</v>
      </c>
      <c r="Y44" s="308" t="s">
        <v>473</v>
      </c>
      <c r="Z44" s="306">
        <f>350*0.75</f>
        <v>262.5</v>
      </c>
      <c r="AA44" s="304" t="s">
        <v>484</v>
      </c>
      <c r="AB44" s="309" t="s">
        <v>473</v>
      </c>
      <c r="AC44" s="310" t="s">
        <v>55</v>
      </c>
    </row>
    <row r="45" spans="1:29" ht="12.75" customHeight="1" x14ac:dyDescent="0.15">
      <c r="A45" s="336"/>
      <c r="B45" s="303"/>
      <c r="C45" s="323"/>
      <c r="D45" s="305"/>
      <c r="E45" s="305"/>
      <c r="F45" s="305"/>
      <c r="G45" s="324"/>
      <c r="H45" s="325">
        <v>1.1000000000000001</v>
      </c>
      <c r="I45" s="323" t="s">
        <v>478</v>
      </c>
      <c r="J45" s="326"/>
      <c r="K45" s="325">
        <f>1.1*0.75</f>
        <v>0.82500000000000007</v>
      </c>
      <c r="L45" s="323" t="s">
        <v>478</v>
      </c>
      <c r="M45" s="327"/>
      <c r="N45" s="328"/>
      <c r="O45" s="311"/>
      <c r="P45" s="312"/>
      <c r="Q45" s="312"/>
      <c r="R45" s="318" t="s">
        <v>219</v>
      </c>
      <c r="S45" s="305"/>
      <c r="T45" s="305"/>
      <c r="U45" s="305"/>
      <c r="V45" s="316"/>
      <c r="W45" s="317">
        <v>12.3</v>
      </c>
      <c r="X45" s="318" t="s">
        <v>478</v>
      </c>
      <c r="Y45" s="319"/>
      <c r="Z45" s="317">
        <f>12.3*0.75</f>
        <v>9.2250000000000014</v>
      </c>
      <c r="AA45" s="318" t="s">
        <v>478</v>
      </c>
      <c r="AB45" s="320"/>
      <c r="AC45" s="321" t="s">
        <v>492</v>
      </c>
    </row>
    <row r="46" spans="1:29" ht="12.75" customHeight="1" x14ac:dyDescent="0.15">
      <c r="A46" s="312">
        <v>11</v>
      </c>
      <c r="B46" s="303" t="s">
        <v>53</v>
      </c>
      <c r="C46" s="343" t="s">
        <v>215</v>
      </c>
      <c r="D46" s="305" t="s">
        <v>542</v>
      </c>
      <c r="E46" s="305" t="s">
        <v>475</v>
      </c>
      <c r="F46" s="305" t="s">
        <v>545</v>
      </c>
      <c r="G46" s="182" t="s">
        <v>544</v>
      </c>
      <c r="H46" s="306">
        <v>355</v>
      </c>
      <c r="I46" s="304" t="s">
        <v>484</v>
      </c>
      <c r="J46" s="308" t="s">
        <v>473</v>
      </c>
      <c r="K46" s="306">
        <f>355*0.75</f>
        <v>266.25</v>
      </c>
      <c r="L46" s="304" t="s">
        <v>484</v>
      </c>
      <c r="M46" s="309" t="s">
        <v>473</v>
      </c>
      <c r="N46" s="310" t="s">
        <v>55</v>
      </c>
      <c r="O46" s="311"/>
      <c r="P46" s="312"/>
      <c r="Q46" s="312"/>
      <c r="R46" s="318" t="s">
        <v>264</v>
      </c>
      <c r="S46" s="305"/>
      <c r="T46" s="305"/>
      <c r="U46" s="305"/>
      <c r="V46" s="316"/>
      <c r="W46" s="317">
        <v>12.2</v>
      </c>
      <c r="X46" s="318" t="s">
        <v>478</v>
      </c>
      <c r="Y46" s="319"/>
      <c r="Z46" s="317">
        <f>12.2*0.75</f>
        <v>9.1499999999999986</v>
      </c>
      <c r="AA46" s="318" t="s">
        <v>478</v>
      </c>
      <c r="AB46" s="320"/>
      <c r="AC46" s="321"/>
    </row>
    <row r="47" spans="1:29" ht="12.75" customHeight="1" x14ac:dyDescent="0.15">
      <c r="A47" s="336"/>
      <c r="B47" s="303"/>
      <c r="C47" s="318" t="s">
        <v>219</v>
      </c>
      <c r="D47" s="305"/>
      <c r="E47" s="305"/>
      <c r="F47" s="305"/>
      <c r="G47" s="316"/>
      <c r="H47" s="317">
        <v>12.9</v>
      </c>
      <c r="I47" s="318" t="s">
        <v>478</v>
      </c>
      <c r="J47" s="319"/>
      <c r="K47" s="317">
        <f>12.9*0.75</f>
        <v>9.6750000000000007</v>
      </c>
      <c r="L47" s="318" t="s">
        <v>478</v>
      </c>
      <c r="M47" s="320"/>
      <c r="N47" s="321" t="s">
        <v>546</v>
      </c>
      <c r="O47" s="311"/>
      <c r="P47" s="312"/>
      <c r="Q47" s="312"/>
      <c r="R47" s="318"/>
      <c r="S47" s="305"/>
      <c r="T47" s="305"/>
      <c r="U47" s="305"/>
      <c r="V47" s="316"/>
      <c r="W47" s="317">
        <v>47.2</v>
      </c>
      <c r="X47" s="318" t="s">
        <v>478</v>
      </c>
      <c r="Y47" s="319"/>
      <c r="Z47" s="317">
        <f>47.2*0.75</f>
        <v>35.400000000000006</v>
      </c>
      <c r="AA47" s="318" t="s">
        <v>478</v>
      </c>
      <c r="AB47" s="320"/>
      <c r="AC47" s="321"/>
    </row>
    <row r="48" spans="1:29" ht="12.75" customHeight="1" x14ac:dyDescent="0.15">
      <c r="A48" s="336"/>
      <c r="B48" s="303"/>
      <c r="C48" s="318" t="s">
        <v>96</v>
      </c>
      <c r="D48" s="305"/>
      <c r="E48" s="305"/>
      <c r="F48" s="305"/>
      <c r="G48" s="316"/>
      <c r="H48" s="317">
        <v>12.899999999999999</v>
      </c>
      <c r="I48" s="318" t="s">
        <v>478</v>
      </c>
      <c r="J48" s="319"/>
      <c r="K48" s="317">
        <f>12.9*0.75</f>
        <v>9.6750000000000007</v>
      </c>
      <c r="L48" s="318" t="s">
        <v>478</v>
      </c>
      <c r="M48" s="320"/>
      <c r="N48" s="321" t="s">
        <v>514</v>
      </c>
      <c r="O48" s="311"/>
      <c r="P48" s="344"/>
      <c r="Q48" s="344"/>
      <c r="R48" s="318"/>
      <c r="S48" s="182"/>
      <c r="T48" s="182"/>
      <c r="U48" s="182"/>
      <c r="V48" s="316"/>
      <c r="W48" s="317">
        <v>0.9</v>
      </c>
      <c r="X48" s="318" t="s">
        <v>478</v>
      </c>
      <c r="Y48" s="319"/>
      <c r="Z48" s="317">
        <f>0.9*0.75</f>
        <v>0.67500000000000004</v>
      </c>
      <c r="AA48" s="318" t="s">
        <v>478</v>
      </c>
      <c r="AB48" s="320"/>
      <c r="AC48" s="321"/>
    </row>
    <row r="49" spans="1:29" ht="12.75" customHeight="1" x14ac:dyDescent="0.15">
      <c r="A49" s="336"/>
      <c r="B49" s="303"/>
      <c r="C49" s="318"/>
      <c r="D49" s="305"/>
      <c r="E49" s="305"/>
      <c r="F49" s="305"/>
      <c r="G49" s="316"/>
      <c r="H49" s="317">
        <v>46.300000000000011</v>
      </c>
      <c r="I49" s="318" t="s">
        <v>478</v>
      </c>
      <c r="J49" s="319"/>
      <c r="K49" s="317">
        <f>46.3*0.75</f>
        <v>34.724999999999994</v>
      </c>
      <c r="L49" s="318" t="s">
        <v>478</v>
      </c>
      <c r="M49" s="320"/>
      <c r="N49" s="321"/>
      <c r="O49" s="311"/>
      <c r="P49" s="312">
        <v>26</v>
      </c>
      <c r="Q49" s="312" t="s">
        <v>360</v>
      </c>
      <c r="R49" s="307" t="s">
        <v>226</v>
      </c>
      <c r="S49" s="305" t="s">
        <v>547</v>
      </c>
      <c r="T49" s="305" t="s">
        <v>548</v>
      </c>
      <c r="U49" s="305" t="s">
        <v>549</v>
      </c>
      <c r="V49" s="182" t="s">
        <v>550</v>
      </c>
      <c r="W49" s="306">
        <v>465</v>
      </c>
      <c r="X49" s="304" t="s">
        <v>484</v>
      </c>
      <c r="Y49" s="308" t="s">
        <v>473</v>
      </c>
      <c r="Z49" s="306">
        <f>465*0.75</f>
        <v>348.75</v>
      </c>
      <c r="AA49" s="304" t="s">
        <v>484</v>
      </c>
      <c r="AB49" s="309" t="s">
        <v>473</v>
      </c>
      <c r="AC49" s="310" t="s">
        <v>55</v>
      </c>
    </row>
    <row r="50" spans="1:29" ht="12.75" customHeight="1" x14ac:dyDescent="0.15">
      <c r="A50" s="336"/>
      <c r="B50" s="303"/>
      <c r="C50" s="323"/>
      <c r="D50" s="305"/>
      <c r="E50" s="305"/>
      <c r="F50" s="305"/>
      <c r="G50" s="324"/>
      <c r="H50" s="325">
        <v>0.9</v>
      </c>
      <c r="I50" s="323" t="s">
        <v>478</v>
      </c>
      <c r="J50" s="326"/>
      <c r="K50" s="325">
        <f>0.9*0.75</f>
        <v>0.67500000000000004</v>
      </c>
      <c r="L50" s="323" t="s">
        <v>478</v>
      </c>
      <c r="M50" s="327"/>
      <c r="N50" s="328"/>
      <c r="O50" s="311"/>
      <c r="P50" s="312"/>
      <c r="Q50" s="312"/>
      <c r="R50" s="345" t="s">
        <v>227</v>
      </c>
      <c r="S50" s="305"/>
      <c r="T50" s="305"/>
      <c r="U50" s="305"/>
      <c r="V50" s="316"/>
      <c r="W50" s="317">
        <v>12.100000000000001</v>
      </c>
      <c r="X50" s="318" t="s">
        <v>478</v>
      </c>
      <c r="Y50" s="319"/>
      <c r="Z50" s="317">
        <f>12.1*0.75</f>
        <v>9.0749999999999993</v>
      </c>
      <c r="AA50" s="318" t="s">
        <v>478</v>
      </c>
      <c r="AB50" s="320"/>
      <c r="AC50" s="321" t="s">
        <v>541</v>
      </c>
    </row>
    <row r="51" spans="1:29" ht="12.75" customHeight="1" x14ac:dyDescent="0.15">
      <c r="A51" s="312">
        <v>12</v>
      </c>
      <c r="B51" s="303" t="s">
        <v>360</v>
      </c>
      <c r="C51" s="346" t="s">
        <v>226</v>
      </c>
      <c r="D51" s="305" t="s">
        <v>551</v>
      </c>
      <c r="E51" s="305" t="s">
        <v>552</v>
      </c>
      <c r="F51" s="305" t="s">
        <v>553</v>
      </c>
      <c r="G51" s="182" t="s">
        <v>550</v>
      </c>
      <c r="H51" s="306">
        <v>461</v>
      </c>
      <c r="I51" s="304" t="s">
        <v>484</v>
      </c>
      <c r="J51" s="308" t="s">
        <v>103</v>
      </c>
      <c r="K51" s="306">
        <f>461*0.75</f>
        <v>345.75</v>
      </c>
      <c r="L51" s="304" t="s">
        <v>484</v>
      </c>
      <c r="M51" s="309" t="s">
        <v>103</v>
      </c>
      <c r="N51" s="310" t="s">
        <v>55</v>
      </c>
      <c r="O51" s="311"/>
      <c r="P51" s="312"/>
      <c r="Q51" s="312"/>
      <c r="R51" s="318" t="s">
        <v>164</v>
      </c>
      <c r="S51" s="305"/>
      <c r="T51" s="305"/>
      <c r="U51" s="305"/>
      <c r="V51" s="316"/>
      <c r="W51" s="317">
        <v>14.2</v>
      </c>
      <c r="X51" s="318" t="s">
        <v>478</v>
      </c>
      <c r="Y51" s="319"/>
      <c r="Z51" s="317">
        <f>14.2*0.75</f>
        <v>10.649999999999999</v>
      </c>
      <c r="AA51" s="318" t="s">
        <v>478</v>
      </c>
      <c r="AB51" s="320"/>
      <c r="AC51" s="321"/>
    </row>
    <row r="52" spans="1:29" ht="12.75" customHeight="1" x14ac:dyDescent="0.15">
      <c r="A52" s="336"/>
      <c r="B52" s="303"/>
      <c r="C52" s="345" t="s">
        <v>227</v>
      </c>
      <c r="D52" s="305"/>
      <c r="E52" s="305"/>
      <c r="F52" s="305"/>
      <c r="G52" s="316"/>
      <c r="H52" s="317">
        <v>10.9</v>
      </c>
      <c r="I52" s="318" t="s">
        <v>478</v>
      </c>
      <c r="J52" s="319"/>
      <c r="K52" s="317">
        <f>10.9*0.75</f>
        <v>8.1750000000000007</v>
      </c>
      <c r="L52" s="318" t="s">
        <v>478</v>
      </c>
      <c r="M52" s="320"/>
      <c r="N52" s="321" t="s">
        <v>526</v>
      </c>
      <c r="O52" s="311"/>
      <c r="P52" s="312"/>
      <c r="Q52" s="312"/>
      <c r="R52" s="318" t="s">
        <v>260</v>
      </c>
      <c r="S52" s="305"/>
      <c r="T52" s="305"/>
      <c r="U52" s="305"/>
      <c r="V52" s="316"/>
      <c r="W52" s="317">
        <v>70.100000000000023</v>
      </c>
      <c r="X52" s="318" t="s">
        <v>478</v>
      </c>
      <c r="Y52" s="319"/>
      <c r="Z52" s="317">
        <f>70.1*0.75</f>
        <v>52.574999999999996</v>
      </c>
      <c r="AA52" s="318" t="s">
        <v>478</v>
      </c>
      <c r="AB52" s="320"/>
      <c r="AC52" s="321"/>
    </row>
    <row r="53" spans="1:29" ht="12.75" customHeight="1" x14ac:dyDescent="0.15">
      <c r="A53" s="336"/>
      <c r="B53" s="303"/>
      <c r="C53" s="318" t="s">
        <v>164</v>
      </c>
      <c r="D53" s="305"/>
      <c r="E53" s="305"/>
      <c r="F53" s="305"/>
      <c r="G53" s="316"/>
      <c r="H53" s="317">
        <v>13</v>
      </c>
      <c r="I53" s="318" t="s">
        <v>478</v>
      </c>
      <c r="J53" s="319"/>
      <c r="K53" s="317">
        <f>13*0.75</f>
        <v>9.75</v>
      </c>
      <c r="L53" s="318" t="s">
        <v>478</v>
      </c>
      <c r="M53" s="320"/>
      <c r="N53" s="321" t="s">
        <v>527</v>
      </c>
      <c r="O53" s="311"/>
      <c r="P53" s="312"/>
      <c r="Q53" s="312"/>
      <c r="R53" s="323"/>
      <c r="S53" s="305"/>
      <c r="T53" s="305"/>
      <c r="U53" s="305"/>
      <c r="V53" s="324"/>
      <c r="W53" s="325">
        <v>0.99999999999999989</v>
      </c>
      <c r="X53" s="323" t="s">
        <v>478</v>
      </c>
      <c r="Y53" s="326"/>
      <c r="Z53" s="325">
        <f>1*0.75</f>
        <v>0.75</v>
      </c>
      <c r="AA53" s="323" t="s">
        <v>478</v>
      </c>
      <c r="AB53" s="327"/>
      <c r="AC53" s="328"/>
    </row>
    <row r="54" spans="1:29" ht="12.75" customHeight="1" x14ac:dyDescent="0.15">
      <c r="A54" s="336"/>
      <c r="B54" s="303"/>
      <c r="C54" s="318" t="s">
        <v>125</v>
      </c>
      <c r="D54" s="305"/>
      <c r="E54" s="305"/>
      <c r="F54" s="305"/>
      <c r="G54" s="316"/>
      <c r="H54" s="317">
        <v>73.40000000000002</v>
      </c>
      <c r="I54" s="318" t="s">
        <v>478</v>
      </c>
      <c r="J54" s="319"/>
      <c r="K54" s="317">
        <f>73.4*0.75</f>
        <v>55.050000000000004</v>
      </c>
      <c r="L54" s="318" t="s">
        <v>478</v>
      </c>
      <c r="M54" s="320"/>
      <c r="N54" s="321"/>
      <c r="O54" s="311"/>
      <c r="P54" s="347">
        <v>27</v>
      </c>
      <c r="Q54" s="312" t="s">
        <v>375</v>
      </c>
      <c r="R54" s="318" t="s">
        <v>119</v>
      </c>
      <c r="S54" s="305" t="s">
        <v>554</v>
      </c>
      <c r="T54" s="305" t="s">
        <v>555</v>
      </c>
      <c r="U54" s="305" t="s">
        <v>556</v>
      </c>
      <c r="V54" s="182" t="s">
        <v>557</v>
      </c>
      <c r="W54" s="306">
        <v>365</v>
      </c>
      <c r="X54" s="304" t="s">
        <v>484</v>
      </c>
      <c r="Y54" s="308" t="s">
        <v>511</v>
      </c>
      <c r="Z54" s="306">
        <f>365*0.75</f>
        <v>273.75</v>
      </c>
      <c r="AA54" s="304" t="s">
        <v>484</v>
      </c>
      <c r="AB54" s="309" t="s">
        <v>511</v>
      </c>
      <c r="AC54" s="348" t="s">
        <v>55</v>
      </c>
    </row>
    <row r="55" spans="1:29" ht="12.75" customHeight="1" x14ac:dyDescent="0.15">
      <c r="A55" s="336"/>
      <c r="B55" s="303"/>
      <c r="C55" s="323"/>
      <c r="D55" s="305"/>
      <c r="E55" s="305"/>
      <c r="F55" s="305"/>
      <c r="G55" s="324"/>
      <c r="H55" s="325">
        <v>0.99999999999999989</v>
      </c>
      <c r="I55" s="323" t="s">
        <v>478</v>
      </c>
      <c r="J55" s="326"/>
      <c r="K55" s="325">
        <f>1*0.75</f>
        <v>0.75</v>
      </c>
      <c r="L55" s="323" t="s">
        <v>478</v>
      </c>
      <c r="M55" s="327"/>
      <c r="N55" s="328"/>
      <c r="O55" s="311"/>
      <c r="P55" s="347"/>
      <c r="Q55" s="312"/>
      <c r="R55" s="314" t="s">
        <v>232</v>
      </c>
      <c r="S55" s="305"/>
      <c r="T55" s="305"/>
      <c r="U55" s="305"/>
      <c r="V55" s="316"/>
      <c r="W55" s="317">
        <v>15.1</v>
      </c>
      <c r="X55" s="318" t="s">
        <v>478</v>
      </c>
      <c r="Y55" s="319"/>
      <c r="Z55" s="317">
        <f>15.1*0.75</f>
        <v>11.324999999999999</v>
      </c>
      <c r="AA55" s="318" t="s">
        <v>478</v>
      </c>
      <c r="AB55" s="320"/>
      <c r="AC55" s="349" t="s">
        <v>558</v>
      </c>
    </row>
    <row r="56" spans="1:29" ht="12.75" customHeight="1" x14ac:dyDescent="0.15">
      <c r="A56" s="312">
        <v>13</v>
      </c>
      <c r="B56" s="303" t="s">
        <v>375</v>
      </c>
      <c r="C56" s="318" t="s">
        <v>119</v>
      </c>
      <c r="D56" s="305" t="s">
        <v>554</v>
      </c>
      <c r="E56" s="305" t="s">
        <v>555</v>
      </c>
      <c r="F56" s="305" t="s">
        <v>559</v>
      </c>
      <c r="G56" s="182" t="s">
        <v>557</v>
      </c>
      <c r="H56" s="306">
        <v>369</v>
      </c>
      <c r="I56" s="304" t="s">
        <v>484</v>
      </c>
      <c r="J56" s="308" t="s">
        <v>511</v>
      </c>
      <c r="K56" s="306">
        <f>369*0.75</f>
        <v>276.75</v>
      </c>
      <c r="L56" s="304" t="s">
        <v>484</v>
      </c>
      <c r="M56" s="309" t="s">
        <v>511</v>
      </c>
      <c r="N56" s="310" t="s">
        <v>55</v>
      </c>
      <c r="O56" s="311"/>
      <c r="P56" s="347"/>
      <c r="Q56" s="312"/>
      <c r="R56" s="318" t="s">
        <v>560</v>
      </c>
      <c r="S56" s="305"/>
      <c r="T56" s="305"/>
      <c r="U56" s="305"/>
      <c r="V56" s="316"/>
      <c r="W56" s="317">
        <v>8.5</v>
      </c>
      <c r="X56" s="318" t="s">
        <v>478</v>
      </c>
      <c r="Y56" s="319"/>
      <c r="Z56" s="317">
        <f>8.5*0.75</f>
        <v>6.375</v>
      </c>
      <c r="AA56" s="318" t="s">
        <v>478</v>
      </c>
      <c r="AB56" s="320"/>
      <c r="AC56" s="349" t="s">
        <v>514</v>
      </c>
    </row>
    <row r="57" spans="1:29" ht="12.75" customHeight="1" x14ac:dyDescent="0.15">
      <c r="A57" s="336"/>
      <c r="B57" s="303"/>
      <c r="C57" s="314" t="s">
        <v>232</v>
      </c>
      <c r="D57" s="305"/>
      <c r="E57" s="305"/>
      <c r="F57" s="305"/>
      <c r="G57" s="316"/>
      <c r="H57" s="317">
        <v>15.1</v>
      </c>
      <c r="I57" s="318" t="s">
        <v>478</v>
      </c>
      <c r="J57" s="319"/>
      <c r="K57" s="317">
        <f>15.1*0.75</f>
        <v>11.324999999999999</v>
      </c>
      <c r="L57" s="318" t="s">
        <v>478</v>
      </c>
      <c r="M57" s="320"/>
      <c r="N57" s="321" t="s">
        <v>561</v>
      </c>
      <c r="O57" s="311"/>
      <c r="P57" s="347"/>
      <c r="Q57" s="312"/>
      <c r="R57" s="318" t="s">
        <v>43</v>
      </c>
      <c r="S57" s="305"/>
      <c r="T57" s="305"/>
      <c r="U57" s="305"/>
      <c r="V57" s="316"/>
      <c r="W57" s="317">
        <v>54.600000000000009</v>
      </c>
      <c r="X57" s="318" t="s">
        <v>478</v>
      </c>
      <c r="Y57" s="319"/>
      <c r="Z57" s="317">
        <f>54.6*0.75</f>
        <v>40.950000000000003</v>
      </c>
      <c r="AA57" s="318" t="s">
        <v>478</v>
      </c>
      <c r="AB57" s="320"/>
      <c r="AC57" s="349"/>
    </row>
    <row r="58" spans="1:29" ht="12.75" customHeight="1" x14ac:dyDescent="0.15">
      <c r="A58" s="336"/>
      <c r="B58" s="303"/>
      <c r="C58" s="318" t="s">
        <v>560</v>
      </c>
      <c r="D58" s="305"/>
      <c r="E58" s="305"/>
      <c r="F58" s="305"/>
      <c r="G58" s="316"/>
      <c r="H58" s="317">
        <v>8.5</v>
      </c>
      <c r="I58" s="318" t="s">
        <v>478</v>
      </c>
      <c r="J58" s="319"/>
      <c r="K58" s="317">
        <f>8.5*0.75</f>
        <v>6.375</v>
      </c>
      <c r="L58" s="318" t="s">
        <v>478</v>
      </c>
      <c r="M58" s="320"/>
      <c r="N58" s="321" t="s">
        <v>514</v>
      </c>
      <c r="O58" s="311"/>
      <c r="P58" s="347"/>
      <c r="Q58" s="312"/>
      <c r="R58" s="323" t="s">
        <v>149</v>
      </c>
      <c r="S58" s="305"/>
      <c r="T58" s="305"/>
      <c r="U58" s="305"/>
      <c r="V58" s="324"/>
      <c r="W58" s="325">
        <v>0.9</v>
      </c>
      <c r="X58" s="323" t="s">
        <v>478</v>
      </c>
      <c r="Y58" s="326"/>
      <c r="Z58" s="325">
        <f>0.9*0.75</f>
        <v>0.67500000000000004</v>
      </c>
      <c r="AA58" s="323" t="s">
        <v>478</v>
      </c>
      <c r="AB58" s="327"/>
      <c r="AC58" s="350"/>
    </row>
    <row r="59" spans="1:29" ht="12.75" customHeight="1" x14ac:dyDescent="0.15">
      <c r="A59" s="336"/>
      <c r="B59" s="303"/>
      <c r="C59" s="318" t="s">
        <v>43</v>
      </c>
      <c r="D59" s="305"/>
      <c r="E59" s="305"/>
      <c r="F59" s="305"/>
      <c r="G59" s="316"/>
      <c r="H59" s="317">
        <v>55.000000000000007</v>
      </c>
      <c r="I59" s="318" t="s">
        <v>478</v>
      </c>
      <c r="J59" s="319"/>
      <c r="K59" s="317">
        <f>55*0.75</f>
        <v>41.25</v>
      </c>
      <c r="L59" s="318" t="s">
        <v>478</v>
      </c>
      <c r="M59" s="320"/>
      <c r="N59" s="321"/>
      <c r="O59" s="311"/>
      <c r="P59" s="347">
        <v>28</v>
      </c>
      <c r="Q59" s="312" t="s">
        <v>385</v>
      </c>
      <c r="R59" s="307" t="s">
        <v>562</v>
      </c>
      <c r="S59" s="305" t="s">
        <v>563</v>
      </c>
      <c r="T59" s="305" t="s">
        <v>564</v>
      </c>
      <c r="U59" s="305" t="s">
        <v>565</v>
      </c>
      <c r="V59" s="182" t="s">
        <v>566</v>
      </c>
      <c r="W59" s="306"/>
      <c r="X59" s="304"/>
      <c r="Y59" s="308"/>
      <c r="Z59" s="306">
        <v>275</v>
      </c>
      <c r="AA59" s="304" t="s">
        <v>484</v>
      </c>
      <c r="AB59" s="309" t="s">
        <v>567</v>
      </c>
      <c r="AC59" s="348" t="s">
        <v>55</v>
      </c>
    </row>
    <row r="60" spans="1:29" ht="12.75" customHeight="1" x14ac:dyDescent="0.15">
      <c r="A60" s="336"/>
      <c r="B60" s="303"/>
      <c r="C60" s="323" t="s">
        <v>202</v>
      </c>
      <c r="D60" s="305"/>
      <c r="E60" s="305"/>
      <c r="F60" s="305"/>
      <c r="G60" s="324"/>
      <c r="H60" s="325">
        <v>0.9</v>
      </c>
      <c r="I60" s="323" t="s">
        <v>478</v>
      </c>
      <c r="J60" s="326"/>
      <c r="K60" s="325">
        <f>0.9*0.75</f>
        <v>0.67500000000000004</v>
      </c>
      <c r="L60" s="323" t="s">
        <v>478</v>
      </c>
      <c r="M60" s="327"/>
      <c r="N60" s="328"/>
      <c r="O60" s="311"/>
      <c r="P60" s="347"/>
      <c r="Q60" s="312"/>
      <c r="R60" s="318" t="s">
        <v>568</v>
      </c>
      <c r="S60" s="305"/>
      <c r="T60" s="305"/>
      <c r="U60" s="305"/>
      <c r="V60" s="316"/>
      <c r="W60" s="317"/>
      <c r="X60" s="318"/>
      <c r="Y60" s="319"/>
      <c r="Z60" s="317">
        <v>11.6</v>
      </c>
      <c r="AA60" s="318" t="s">
        <v>478</v>
      </c>
      <c r="AB60" s="320"/>
      <c r="AC60" s="349" t="s">
        <v>569</v>
      </c>
    </row>
    <row r="61" spans="1:29" ht="12.75" customHeight="1" x14ac:dyDescent="0.15">
      <c r="A61" s="312">
        <v>14</v>
      </c>
      <c r="B61" s="303" t="s">
        <v>385</v>
      </c>
      <c r="C61" s="307" t="s">
        <v>562</v>
      </c>
      <c r="D61" s="305" t="s">
        <v>563</v>
      </c>
      <c r="E61" s="305" t="s">
        <v>564</v>
      </c>
      <c r="F61" s="305" t="s">
        <v>565</v>
      </c>
      <c r="G61" s="182" t="s">
        <v>566</v>
      </c>
      <c r="H61" s="306"/>
      <c r="I61" s="304"/>
      <c r="J61" s="308"/>
      <c r="K61" s="306">
        <v>275</v>
      </c>
      <c r="L61" s="304" t="s">
        <v>484</v>
      </c>
      <c r="M61" s="309" t="s">
        <v>473</v>
      </c>
      <c r="N61" s="310" t="s">
        <v>55</v>
      </c>
      <c r="O61" s="311"/>
      <c r="P61" s="347"/>
      <c r="Q61" s="312"/>
      <c r="R61" s="318" t="s">
        <v>570</v>
      </c>
      <c r="S61" s="305"/>
      <c r="T61" s="305"/>
      <c r="U61" s="305"/>
      <c r="V61" s="316"/>
      <c r="W61" s="317"/>
      <c r="X61" s="318"/>
      <c r="Y61" s="319"/>
      <c r="Z61" s="317">
        <v>10.1</v>
      </c>
      <c r="AA61" s="318" t="s">
        <v>478</v>
      </c>
      <c r="AB61" s="320"/>
      <c r="AC61" s="349" t="s">
        <v>514</v>
      </c>
    </row>
    <row r="62" spans="1:29" ht="12.75" customHeight="1" x14ac:dyDescent="0.15">
      <c r="A62" s="336"/>
      <c r="B62" s="303"/>
      <c r="C62" s="318" t="s">
        <v>568</v>
      </c>
      <c r="D62" s="305"/>
      <c r="E62" s="305"/>
      <c r="F62" s="305"/>
      <c r="G62" s="316"/>
      <c r="H62" s="317"/>
      <c r="I62" s="318"/>
      <c r="J62" s="319"/>
      <c r="K62" s="317">
        <v>11.6</v>
      </c>
      <c r="L62" s="318" t="s">
        <v>478</v>
      </c>
      <c r="M62" s="320"/>
      <c r="N62" s="321" t="s">
        <v>546</v>
      </c>
      <c r="O62" s="311"/>
      <c r="P62" s="347"/>
      <c r="Q62" s="312"/>
      <c r="R62" s="318"/>
      <c r="S62" s="305"/>
      <c r="T62" s="305"/>
      <c r="U62" s="305"/>
      <c r="V62" s="316"/>
      <c r="W62" s="317"/>
      <c r="X62" s="318"/>
      <c r="Y62" s="319"/>
      <c r="Z62" s="317">
        <v>27.8</v>
      </c>
      <c r="AA62" s="318" t="s">
        <v>478</v>
      </c>
      <c r="AB62" s="320"/>
      <c r="AC62" s="349"/>
    </row>
    <row r="63" spans="1:29" ht="12.75" customHeight="1" x14ac:dyDescent="0.15">
      <c r="A63" s="336"/>
      <c r="B63" s="303"/>
      <c r="C63" s="318" t="s">
        <v>570</v>
      </c>
      <c r="D63" s="305"/>
      <c r="E63" s="305"/>
      <c r="F63" s="305"/>
      <c r="G63" s="316"/>
      <c r="H63" s="317"/>
      <c r="I63" s="318"/>
      <c r="J63" s="319"/>
      <c r="K63" s="317">
        <v>10.1</v>
      </c>
      <c r="L63" s="318" t="s">
        <v>478</v>
      </c>
      <c r="M63" s="320"/>
      <c r="N63" s="321" t="s">
        <v>514</v>
      </c>
      <c r="O63" s="311"/>
      <c r="P63" s="347"/>
      <c r="Q63" s="312"/>
      <c r="R63" s="323"/>
      <c r="S63" s="305"/>
      <c r="T63" s="305"/>
      <c r="U63" s="305"/>
      <c r="V63" s="324"/>
      <c r="W63" s="325"/>
      <c r="X63" s="323"/>
      <c r="Y63" s="326"/>
      <c r="Z63" s="325">
        <v>0.7</v>
      </c>
      <c r="AA63" s="323" t="s">
        <v>478</v>
      </c>
      <c r="AB63" s="327"/>
      <c r="AC63" s="350"/>
    </row>
    <row r="64" spans="1:29" ht="12.75" customHeight="1" x14ac:dyDescent="0.15">
      <c r="A64" s="336"/>
      <c r="B64" s="303"/>
      <c r="C64" s="318"/>
      <c r="D64" s="305"/>
      <c r="E64" s="305"/>
      <c r="F64" s="305"/>
      <c r="G64" s="316"/>
      <c r="H64" s="317"/>
      <c r="I64" s="318"/>
      <c r="J64" s="319"/>
      <c r="K64" s="317">
        <v>27</v>
      </c>
      <c r="L64" s="318" t="s">
        <v>478</v>
      </c>
      <c r="M64" s="320"/>
      <c r="N64" s="321"/>
      <c r="O64" s="311"/>
      <c r="P64" s="337"/>
      <c r="Q64" s="338"/>
      <c r="R64" s="338"/>
      <c r="S64" s="338"/>
      <c r="T64" s="338"/>
      <c r="U64" s="338"/>
      <c r="V64" s="338"/>
      <c r="W64" s="338"/>
      <c r="X64" s="338"/>
      <c r="Y64" s="338"/>
      <c r="Z64" s="338"/>
      <c r="AA64" s="338"/>
      <c r="AB64" s="338"/>
      <c r="AC64" s="339"/>
    </row>
    <row r="65" spans="1:29" ht="12.75" customHeight="1" x14ac:dyDescent="0.15">
      <c r="A65" s="336"/>
      <c r="B65" s="303"/>
      <c r="C65" s="323"/>
      <c r="D65" s="305"/>
      <c r="E65" s="305"/>
      <c r="F65" s="305"/>
      <c r="G65" s="324"/>
      <c r="H65" s="325"/>
      <c r="I65" s="323"/>
      <c r="J65" s="326"/>
      <c r="K65" s="325"/>
      <c r="L65" s="323" t="s">
        <v>478</v>
      </c>
      <c r="M65" s="327"/>
      <c r="N65" s="328"/>
      <c r="O65" s="311"/>
      <c r="P65" s="340"/>
      <c r="Q65" s="341"/>
      <c r="R65" s="341"/>
      <c r="S65" s="341"/>
      <c r="T65" s="341"/>
      <c r="U65" s="341"/>
      <c r="V65" s="341"/>
      <c r="W65" s="341"/>
      <c r="X65" s="341"/>
      <c r="Y65" s="341"/>
      <c r="Z65" s="341"/>
      <c r="AA65" s="341"/>
      <c r="AB65" s="341"/>
      <c r="AC65" s="342"/>
    </row>
    <row r="66" spans="1:29" ht="12.75" customHeight="1" x14ac:dyDescent="0.15">
      <c r="A66" s="337"/>
      <c r="B66" s="338"/>
      <c r="C66" s="338"/>
      <c r="D66" s="338"/>
      <c r="E66" s="338"/>
      <c r="F66" s="338"/>
      <c r="G66" s="338"/>
      <c r="H66" s="338"/>
      <c r="I66" s="338"/>
      <c r="J66" s="338"/>
      <c r="K66" s="338"/>
      <c r="L66" s="338"/>
      <c r="M66" s="338"/>
      <c r="N66" s="339"/>
      <c r="O66" s="311"/>
      <c r="P66" s="351">
        <v>30</v>
      </c>
      <c r="Q66" s="352" t="s">
        <v>324</v>
      </c>
      <c r="R66" s="353" t="s">
        <v>23</v>
      </c>
      <c r="S66" s="324" t="s">
        <v>468</v>
      </c>
      <c r="T66" s="324" t="s">
        <v>469</v>
      </c>
      <c r="U66" s="324" t="s">
        <v>470</v>
      </c>
      <c r="V66" s="316" t="s">
        <v>471</v>
      </c>
      <c r="W66" s="354">
        <v>383</v>
      </c>
      <c r="X66" s="353" t="s">
        <v>484</v>
      </c>
      <c r="Y66" s="319" t="s">
        <v>473</v>
      </c>
      <c r="Z66" s="354">
        <f>383*0.75</f>
        <v>287.25</v>
      </c>
      <c r="AA66" s="353" t="s">
        <v>484</v>
      </c>
      <c r="AB66" s="355" t="s">
        <v>567</v>
      </c>
      <c r="AC66" s="356" t="s">
        <v>55</v>
      </c>
    </row>
    <row r="67" spans="1:29" ht="12.75" customHeight="1" x14ac:dyDescent="0.15">
      <c r="A67" s="340"/>
      <c r="B67" s="341"/>
      <c r="C67" s="341"/>
      <c r="D67" s="341"/>
      <c r="E67" s="341"/>
      <c r="F67" s="341"/>
      <c r="G67" s="341"/>
      <c r="H67" s="341"/>
      <c r="I67" s="341"/>
      <c r="J67" s="341"/>
      <c r="K67" s="341"/>
      <c r="L67" s="341"/>
      <c r="M67" s="341"/>
      <c r="N67" s="342"/>
      <c r="O67" s="311"/>
      <c r="P67" s="302"/>
      <c r="Q67" s="312"/>
      <c r="R67" s="314" t="s">
        <v>71</v>
      </c>
      <c r="S67" s="315"/>
      <c r="T67" s="315"/>
      <c r="U67" s="305"/>
      <c r="V67" s="316"/>
      <c r="W67" s="317">
        <v>16.5</v>
      </c>
      <c r="X67" s="318" t="s">
        <v>478</v>
      </c>
      <c r="Y67" s="319"/>
      <c r="Z67" s="317">
        <f>16.5*0.75</f>
        <v>12.375</v>
      </c>
      <c r="AA67" s="318" t="s">
        <v>478</v>
      </c>
      <c r="AB67" s="355"/>
      <c r="AC67" s="356" t="s">
        <v>481</v>
      </c>
    </row>
    <row r="68" spans="1:29" ht="12.75" customHeight="1" x14ac:dyDescent="0.15">
      <c r="A68" s="312">
        <v>16</v>
      </c>
      <c r="B68" s="312" t="s">
        <v>324</v>
      </c>
      <c r="C68" s="304" t="s">
        <v>23</v>
      </c>
      <c r="D68" s="305" t="s">
        <v>468</v>
      </c>
      <c r="E68" s="305" t="s">
        <v>571</v>
      </c>
      <c r="F68" s="305" t="s">
        <v>572</v>
      </c>
      <c r="G68" s="182" t="s">
        <v>471</v>
      </c>
      <c r="H68" s="357">
        <v>373</v>
      </c>
      <c r="I68" s="304" t="s">
        <v>484</v>
      </c>
      <c r="J68" s="308" t="s">
        <v>103</v>
      </c>
      <c r="K68" s="357">
        <f>373*0.75</f>
        <v>279.75</v>
      </c>
      <c r="L68" s="304" t="s">
        <v>484</v>
      </c>
      <c r="M68" s="358" t="s">
        <v>103</v>
      </c>
      <c r="N68" s="359" t="s">
        <v>55</v>
      </c>
      <c r="O68" s="311"/>
      <c r="P68" s="302"/>
      <c r="Q68" s="312"/>
      <c r="R68" s="318" t="s">
        <v>82</v>
      </c>
      <c r="S68" s="315"/>
      <c r="T68" s="315"/>
      <c r="U68" s="305"/>
      <c r="V68" s="316"/>
      <c r="W68" s="317">
        <v>12.199999999999998</v>
      </c>
      <c r="X68" s="318" t="s">
        <v>478</v>
      </c>
      <c r="Y68" s="319"/>
      <c r="Z68" s="317">
        <f>12.2*0.75</f>
        <v>9.1499999999999986</v>
      </c>
      <c r="AA68" s="318" t="s">
        <v>478</v>
      </c>
      <c r="AB68" s="355"/>
      <c r="AC68" s="356"/>
    </row>
    <row r="69" spans="1:29" ht="12.75" customHeight="1" x14ac:dyDescent="0.15">
      <c r="A69" s="336"/>
      <c r="B69" s="312"/>
      <c r="C69" s="314" t="s">
        <v>71</v>
      </c>
      <c r="D69" s="315"/>
      <c r="E69" s="315"/>
      <c r="F69" s="305"/>
      <c r="G69" s="316"/>
      <c r="H69" s="317">
        <v>15.299999999999999</v>
      </c>
      <c r="I69" s="318" t="s">
        <v>478</v>
      </c>
      <c r="J69" s="319"/>
      <c r="K69" s="317">
        <f>15.3*0.75</f>
        <v>11.475000000000001</v>
      </c>
      <c r="L69" s="318" t="s">
        <v>478</v>
      </c>
      <c r="M69" s="355"/>
      <c r="N69" s="356" t="s">
        <v>479</v>
      </c>
      <c r="O69" s="311"/>
      <c r="P69" s="302"/>
      <c r="Q69" s="312"/>
      <c r="R69" s="318" t="s">
        <v>43</v>
      </c>
      <c r="S69" s="315"/>
      <c r="T69" s="315"/>
      <c r="U69" s="305"/>
      <c r="V69" s="316"/>
      <c r="W69" s="317">
        <v>49.800000000000011</v>
      </c>
      <c r="X69" s="318" t="s">
        <v>478</v>
      </c>
      <c r="Y69" s="319"/>
      <c r="Z69" s="317">
        <f>49.8*0.75</f>
        <v>37.349999999999994</v>
      </c>
      <c r="AA69" s="318" t="s">
        <v>478</v>
      </c>
      <c r="AB69" s="355"/>
      <c r="AC69" s="356"/>
    </row>
    <row r="70" spans="1:29" ht="12.75" customHeight="1" x14ac:dyDescent="0.15">
      <c r="A70" s="336"/>
      <c r="B70" s="312"/>
      <c r="C70" s="318" t="s">
        <v>82</v>
      </c>
      <c r="D70" s="315"/>
      <c r="E70" s="315"/>
      <c r="F70" s="305"/>
      <c r="G70" s="316"/>
      <c r="H70" s="317">
        <v>10.999999999999998</v>
      </c>
      <c r="I70" s="318" t="s">
        <v>478</v>
      </c>
      <c r="J70" s="319"/>
      <c r="K70" s="317">
        <f>11*0.75</f>
        <v>8.25</v>
      </c>
      <c r="L70" s="318" t="s">
        <v>478</v>
      </c>
      <c r="M70" s="355"/>
      <c r="N70" s="356"/>
      <c r="O70" s="311"/>
      <c r="P70" s="302"/>
      <c r="Q70" s="312"/>
      <c r="R70" s="323" t="s">
        <v>88</v>
      </c>
      <c r="S70" s="315"/>
      <c r="T70" s="315"/>
      <c r="U70" s="305"/>
      <c r="V70" s="324"/>
      <c r="W70" s="325">
        <v>0.8</v>
      </c>
      <c r="X70" s="323" t="s">
        <v>478</v>
      </c>
      <c r="Y70" s="326"/>
      <c r="Z70" s="325">
        <f>0.8*0.75</f>
        <v>0.60000000000000009</v>
      </c>
      <c r="AA70" s="323" t="s">
        <v>478</v>
      </c>
      <c r="AB70" s="360"/>
      <c r="AC70" s="361"/>
    </row>
    <row r="71" spans="1:29" ht="12.75" customHeight="1" x14ac:dyDescent="0.15">
      <c r="A71" s="336"/>
      <c r="B71" s="312"/>
      <c r="C71" s="318" t="s">
        <v>43</v>
      </c>
      <c r="D71" s="315"/>
      <c r="E71" s="315"/>
      <c r="F71" s="305"/>
      <c r="G71" s="316"/>
      <c r="H71" s="317">
        <v>51.400000000000006</v>
      </c>
      <c r="I71" s="318" t="s">
        <v>478</v>
      </c>
      <c r="J71" s="319"/>
      <c r="K71" s="317">
        <f>51.4*0.75</f>
        <v>38.549999999999997</v>
      </c>
      <c r="L71" s="318" t="s">
        <v>478</v>
      </c>
      <c r="M71" s="355"/>
      <c r="N71" s="356"/>
      <c r="O71" s="311"/>
      <c r="P71" s="362">
        <v>31</v>
      </c>
      <c r="Q71" s="344" t="s">
        <v>329</v>
      </c>
      <c r="R71" s="313" t="s">
        <v>105</v>
      </c>
      <c r="S71" s="182" t="s">
        <v>474</v>
      </c>
      <c r="T71" s="182" t="s">
        <v>483</v>
      </c>
      <c r="U71" s="182" t="s">
        <v>476</v>
      </c>
      <c r="V71" s="182" t="s">
        <v>477</v>
      </c>
      <c r="W71" s="306">
        <v>454</v>
      </c>
      <c r="X71" s="304" t="s">
        <v>484</v>
      </c>
      <c r="Y71" s="308" t="s">
        <v>473</v>
      </c>
      <c r="Z71" s="306">
        <f>454*0.75</f>
        <v>340.5</v>
      </c>
      <c r="AA71" s="304" t="s">
        <v>484</v>
      </c>
      <c r="AB71" s="358" t="s">
        <v>473</v>
      </c>
      <c r="AC71" s="359" t="s">
        <v>55</v>
      </c>
    </row>
    <row r="72" spans="1:29" ht="12.75" customHeight="1" x14ac:dyDescent="0.15">
      <c r="A72" s="336"/>
      <c r="B72" s="312"/>
      <c r="C72" s="323" t="s">
        <v>202</v>
      </c>
      <c r="D72" s="315"/>
      <c r="E72" s="315"/>
      <c r="F72" s="305"/>
      <c r="G72" s="324"/>
      <c r="H72" s="325">
        <v>0.8</v>
      </c>
      <c r="I72" s="323" t="s">
        <v>478</v>
      </c>
      <c r="J72" s="326"/>
      <c r="K72" s="325">
        <f>0.8*0.75</f>
        <v>0.60000000000000009</v>
      </c>
      <c r="L72" s="323" t="s">
        <v>478</v>
      </c>
      <c r="M72" s="360"/>
      <c r="N72" s="361"/>
      <c r="O72" s="311"/>
      <c r="P72" s="363"/>
      <c r="Q72" s="364"/>
      <c r="R72" s="318" t="s">
        <v>480</v>
      </c>
      <c r="S72" s="316"/>
      <c r="T72" s="316"/>
      <c r="U72" s="316"/>
      <c r="V72" s="316"/>
      <c r="W72" s="317">
        <v>13.4</v>
      </c>
      <c r="X72" s="318" t="s">
        <v>478</v>
      </c>
      <c r="Y72" s="319"/>
      <c r="Z72" s="317">
        <f>13.4*0.75</f>
        <v>10.050000000000001</v>
      </c>
      <c r="AA72" s="318" t="s">
        <v>478</v>
      </c>
      <c r="AB72" s="355"/>
      <c r="AC72" s="356" t="s">
        <v>506</v>
      </c>
    </row>
    <row r="73" spans="1:29" ht="12.75" customHeight="1" x14ac:dyDescent="0.15">
      <c r="A73" s="312" t="s">
        <v>573</v>
      </c>
      <c r="B73" s="312"/>
      <c r="C73" s="365" t="s">
        <v>574</v>
      </c>
      <c r="D73" s="366" t="s">
        <v>575</v>
      </c>
      <c r="E73" s="367"/>
      <c r="F73" s="367"/>
      <c r="G73" s="367"/>
      <c r="H73" s="367"/>
      <c r="I73" s="367"/>
      <c r="J73" s="367"/>
      <c r="K73" s="367"/>
      <c r="L73" s="367"/>
      <c r="M73" s="347"/>
      <c r="N73" s="368"/>
      <c r="O73" s="322"/>
      <c r="P73" s="363"/>
      <c r="Q73" s="364"/>
      <c r="R73" s="318" t="s">
        <v>117</v>
      </c>
      <c r="S73" s="316"/>
      <c r="T73" s="316"/>
      <c r="U73" s="316"/>
      <c r="V73" s="316"/>
      <c r="W73" s="317">
        <v>13.299999999999999</v>
      </c>
      <c r="X73" s="318" t="s">
        <v>478</v>
      </c>
      <c r="Y73" s="319"/>
      <c r="Z73" s="317">
        <f>13.3*0.75</f>
        <v>9.9750000000000014</v>
      </c>
      <c r="AA73" s="318" t="s">
        <v>478</v>
      </c>
      <c r="AB73" s="355"/>
      <c r="AC73" s="356"/>
    </row>
    <row r="74" spans="1:29" ht="12.75" customHeight="1" x14ac:dyDescent="0.15">
      <c r="A74" s="312"/>
      <c r="B74" s="312"/>
      <c r="C74" s="365" t="s">
        <v>576</v>
      </c>
      <c r="D74" s="369" t="s">
        <v>577</v>
      </c>
      <c r="E74" s="369" t="s">
        <v>578</v>
      </c>
      <c r="F74" s="369" t="s">
        <v>579</v>
      </c>
      <c r="G74" s="369" t="s">
        <v>580</v>
      </c>
      <c r="K74" s="312" t="s">
        <v>581</v>
      </c>
      <c r="L74" s="312"/>
      <c r="M74" s="312"/>
      <c r="O74" s="322"/>
      <c r="P74" s="363"/>
      <c r="Q74" s="364"/>
      <c r="R74" s="318"/>
      <c r="S74" s="316"/>
      <c r="T74" s="316"/>
      <c r="U74" s="316"/>
      <c r="V74" s="316"/>
      <c r="W74" s="317">
        <v>68.599999999999994</v>
      </c>
      <c r="X74" s="318" t="s">
        <v>478</v>
      </c>
      <c r="Y74" s="319"/>
      <c r="Z74" s="317">
        <f>68.6*0.75</f>
        <v>51.449999999999996</v>
      </c>
      <c r="AA74" s="318" t="s">
        <v>478</v>
      </c>
      <c r="AB74" s="355"/>
      <c r="AC74" s="356"/>
    </row>
    <row r="75" spans="1:29" ht="12.75" customHeight="1" x14ac:dyDescent="0.15">
      <c r="A75" s="370" t="s">
        <v>582</v>
      </c>
      <c r="B75" s="371" t="s">
        <v>583</v>
      </c>
      <c r="C75" s="365" t="s">
        <v>584</v>
      </c>
      <c r="D75" s="372">
        <f>12344/31</f>
        <v>398.19354838709677</v>
      </c>
      <c r="E75" s="373">
        <f>448.800000000001/31</f>
        <v>14.477419354838741</v>
      </c>
      <c r="F75" s="373">
        <f>344.4/31</f>
        <v>11.109677419354838</v>
      </c>
      <c r="G75" s="373">
        <f>1799.7/31</f>
        <v>58.054838709677419</v>
      </c>
      <c r="K75" s="374">
        <f>32.2/31</f>
        <v>1.0387096774193549</v>
      </c>
      <c r="L75" s="374"/>
      <c r="M75" s="374"/>
      <c r="O75" s="322"/>
      <c r="P75" s="351"/>
      <c r="Q75" s="352"/>
      <c r="R75" s="323"/>
      <c r="S75" s="324"/>
      <c r="T75" s="324"/>
      <c r="U75" s="324"/>
      <c r="V75" s="324"/>
      <c r="W75" s="325">
        <v>1.5000000000000002</v>
      </c>
      <c r="X75" s="323" t="s">
        <v>478</v>
      </c>
      <c r="Y75" s="326"/>
      <c r="Z75" s="325">
        <f>1.5*0.75</f>
        <v>1.125</v>
      </c>
      <c r="AA75" s="323" t="s">
        <v>478</v>
      </c>
      <c r="AB75" s="360"/>
      <c r="AC75" s="361"/>
    </row>
    <row r="76" spans="1:29" ht="12.75" customHeight="1" x14ac:dyDescent="0.15">
      <c r="A76" s="370" t="s">
        <v>585</v>
      </c>
      <c r="B76" s="371" t="s">
        <v>583</v>
      </c>
      <c r="C76" s="365" t="s">
        <v>586</v>
      </c>
      <c r="D76" s="372">
        <f>(12344*0.75)/31</f>
        <v>298.64516129032256</v>
      </c>
      <c r="E76" s="373">
        <f>(448.800000000001*0.75)/31</f>
        <v>10.858064516129055</v>
      </c>
      <c r="F76" s="373">
        <f>(344.4*0.75)/31</f>
        <v>8.332258064516127</v>
      </c>
      <c r="G76" s="373">
        <f>(1799.7*0.75)/31</f>
        <v>43.54112903225807</v>
      </c>
      <c r="K76" s="374">
        <f>(32.2*0.75)/31</f>
        <v>0.77903225806451615</v>
      </c>
      <c r="L76" s="374"/>
      <c r="M76" s="374"/>
      <c r="O76" s="375"/>
      <c r="P76" s="376" t="s">
        <v>587</v>
      </c>
      <c r="Q76" s="377"/>
      <c r="R76" s="377"/>
      <c r="S76" s="377"/>
      <c r="T76" s="377"/>
      <c r="U76" s="377"/>
      <c r="V76" s="377"/>
      <c r="W76" s="377"/>
      <c r="X76" s="377"/>
      <c r="Y76" s="377"/>
      <c r="Z76" s="377"/>
      <c r="AA76" s="377"/>
      <c r="AB76" s="378"/>
      <c r="AC76" s="378"/>
    </row>
    <row r="77" spans="1:29" ht="12.75" customHeight="1" x14ac:dyDescent="0.15">
      <c r="A77" s="159"/>
      <c r="B77" s="368"/>
      <c r="C77" s="379"/>
      <c r="D77" s="380"/>
      <c r="E77" s="381"/>
      <c r="F77" s="381"/>
      <c r="G77" s="381"/>
      <c r="J77" s="381"/>
      <c r="N77" s="273"/>
      <c r="O77" s="375"/>
      <c r="P77" s="382" t="s">
        <v>588</v>
      </c>
      <c r="Q77" s="149"/>
      <c r="R77" s="149"/>
      <c r="S77" s="149"/>
      <c r="T77" s="149"/>
      <c r="U77" s="149"/>
      <c r="V77" s="149"/>
      <c r="W77" s="149"/>
      <c r="X77" s="149"/>
      <c r="Y77" s="149"/>
      <c r="Z77" s="149"/>
      <c r="AA77" s="149"/>
      <c r="AC77" s="149"/>
    </row>
    <row r="78" spans="1:29" ht="12.75" customHeight="1" x14ac:dyDescent="0.15">
      <c r="M78" s="383"/>
      <c r="O78" s="375"/>
      <c r="P78" s="384" t="s">
        <v>589</v>
      </c>
      <c r="Q78" s="385"/>
      <c r="R78" s="386"/>
      <c r="S78" s="386"/>
      <c r="T78" s="386"/>
      <c r="U78" s="386"/>
      <c r="V78" s="386"/>
      <c r="W78" s="386"/>
      <c r="X78" s="386"/>
      <c r="AC78" s="386"/>
    </row>
    <row r="79" spans="1:29" ht="12.75" customHeight="1" x14ac:dyDescent="0.15">
      <c r="C79" s="387"/>
      <c r="D79" s="387"/>
      <c r="E79" s="387"/>
      <c r="F79" s="387"/>
      <c r="G79" s="388"/>
      <c r="H79" s="388"/>
      <c r="I79" s="388"/>
      <c r="J79" s="388"/>
      <c r="K79" s="388"/>
      <c r="M79" s="383"/>
      <c r="O79" s="375"/>
      <c r="P79" s="389" t="s">
        <v>590</v>
      </c>
      <c r="Q79" s="387"/>
      <c r="R79" s="390"/>
      <c r="S79" s="391"/>
      <c r="T79" s="391"/>
      <c r="U79" s="391"/>
      <c r="V79" s="391"/>
      <c r="AC79" s="273"/>
    </row>
    <row r="80" spans="1:29" ht="12.75" customHeight="1" x14ac:dyDescent="0.15">
      <c r="O80" s="375"/>
      <c r="P80" s="384" t="s">
        <v>591</v>
      </c>
      <c r="Q80" s="387"/>
      <c r="R80" s="390"/>
      <c r="S80" s="391"/>
      <c r="T80" s="391"/>
      <c r="U80" s="391"/>
      <c r="V80" s="391"/>
      <c r="AC80" s="391"/>
    </row>
    <row r="81" spans="15:29" ht="12.75" customHeight="1" x14ac:dyDescent="0.15">
      <c r="O81" s="375"/>
      <c r="P81" s="389" t="s">
        <v>592</v>
      </c>
      <c r="Q81" s="389"/>
      <c r="R81" s="389"/>
      <c r="S81" s="389"/>
      <c r="T81" s="389"/>
      <c r="U81" s="389"/>
      <c r="V81" s="389"/>
      <c r="AC81" s="392"/>
    </row>
    <row r="82" spans="15:29" ht="12.75" customHeight="1" x14ac:dyDescent="0.15">
      <c r="P82" s="389" t="s">
        <v>593</v>
      </c>
      <c r="Q82" s="389"/>
      <c r="R82" s="389"/>
      <c r="S82" s="389"/>
      <c r="T82" s="389"/>
      <c r="U82" s="389"/>
      <c r="V82" s="389"/>
      <c r="AC82" s="392"/>
    </row>
    <row r="83" spans="15:29" ht="12.75" customHeight="1" x14ac:dyDescent="0.15">
      <c r="O83" s="381"/>
      <c r="P83" s="389" t="s">
        <v>594</v>
      </c>
      <c r="T83" s="273"/>
      <c r="AC83" s="393"/>
    </row>
    <row r="84" spans="15:29" ht="12.75" customHeight="1" x14ac:dyDescent="0.15">
      <c r="P84" s="389" t="s">
        <v>595</v>
      </c>
    </row>
    <row r="85" spans="15:29" ht="12.75" customHeight="1" x14ac:dyDescent="0.15"/>
    <row r="86" spans="15:29" ht="12.75" customHeight="1" x14ac:dyDescent="0.15"/>
    <row r="87" spans="15:29" ht="12.75" customHeight="1" x14ac:dyDescent="0.15">
      <c r="O87" s="383"/>
    </row>
    <row r="88" spans="15:29" ht="12.75" customHeight="1" x14ac:dyDescent="0.15">
      <c r="O88" s="383"/>
    </row>
    <row r="89" spans="15:29" ht="12.75" customHeight="1" x14ac:dyDescent="0.15"/>
    <row r="90" spans="15:29" ht="12.75" customHeight="1" x14ac:dyDescent="0.15"/>
    <row r="91" spans="15:29" ht="12.75" customHeight="1" x14ac:dyDescent="0.15"/>
    <row r="92" spans="15:29" ht="12.75" customHeight="1" x14ac:dyDescent="0.15"/>
    <row r="93" spans="15:29" ht="12.75" customHeight="1" x14ac:dyDescent="0.15"/>
  </sheetData>
  <mergeCells count="243">
    <mergeCell ref="K76:M76"/>
    <mergeCell ref="P76:AA76"/>
    <mergeCell ref="G79:I79"/>
    <mergeCell ref="J79:K79"/>
    <mergeCell ref="T71:T75"/>
    <mergeCell ref="U71:U75"/>
    <mergeCell ref="V71:V75"/>
    <mergeCell ref="Y71:Y75"/>
    <mergeCell ref="AB71:AB75"/>
    <mergeCell ref="A73:B74"/>
    <mergeCell ref="D73:M73"/>
    <mergeCell ref="K74:M74"/>
    <mergeCell ref="K75:M75"/>
    <mergeCell ref="V66:V70"/>
    <mergeCell ref="Y66:Y70"/>
    <mergeCell ref="AB66:AB70"/>
    <mergeCell ref="A68:A72"/>
    <mergeCell ref="B68:B72"/>
    <mergeCell ref="D68:D72"/>
    <mergeCell ref="E68:E72"/>
    <mergeCell ref="F68:F72"/>
    <mergeCell ref="G68:G72"/>
    <mergeCell ref="J68:J72"/>
    <mergeCell ref="A66:N67"/>
    <mergeCell ref="P66:P70"/>
    <mergeCell ref="Q66:Q70"/>
    <mergeCell ref="S66:S70"/>
    <mergeCell ref="T66:T70"/>
    <mergeCell ref="U66:U70"/>
    <mergeCell ref="M68:M72"/>
    <mergeCell ref="P71:P75"/>
    <mergeCell ref="Q71:Q75"/>
    <mergeCell ref="S71:S75"/>
    <mergeCell ref="AB59:AB63"/>
    <mergeCell ref="A61:A65"/>
    <mergeCell ref="B61:B65"/>
    <mergeCell ref="D61:D65"/>
    <mergeCell ref="E61:E65"/>
    <mergeCell ref="F61:F65"/>
    <mergeCell ref="G61:G65"/>
    <mergeCell ref="J61:J65"/>
    <mergeCell ref="M61:M65"/>
    <mergeCell ref="P64:AC65"/>
    <mergeCell ref="Q59:Q63"/>
    <mergeCell ref="S59:S63"/>
    <mergeCell ref="T59:T63"/>
    <mergeCell ref="U59:U63"/>
    <mergeCell ref="V59:V63"/>
    <mergeCell ref="Y59:Y63"/>
    <mergeCell ref="AB54:AB58"/>
    <mergeCell ref="A56:A60"/>
    <mergeCell ref="B56:B60"/>
    <mergeCell ref="D56:D60"/>
    <mergeCell ref="E56:E60"/>
    <mergeCell ref="F56:F60"/>
    <mergeCell ref="G56:G60"/>
    <mergeCell ref="J56:J60"/>
    <mergeCell ref="M56:M60"/>
    <mergeCell ref="P59:P63"/>
    <mergeCell ref="Q54:Q58"/>
    <mergeCell ref="S54:S58"/>
    <mergeCell ref="T54:T58"/>
    <mergeCell ref="U54:U58"/>
    <mergeCell ref="V54:V58"/>
    <mergeCell ref="Y54:Y58"/>
    <mergeCell ref="AB49:AB53"/>
    <mergeCell ref="A51:A55"/>
    <mergeCell ref="B51:B55"/>
    <mergeCell ref="D51:D55"/>
    <mergeCell ref="E51:E55"/>
    <mergeCell ref="F51:F55"/>
    <mergeCell ref="G51:G55"/>
    <mergeCell ref="J51:J55"/>
    <mergeCell ref="M51:M55"/>
    <mergeCell ref="P54:P58"/>
    <mergeCell ref="Q49:Q53"/>
    <mergeCell ref="S49:S53"/>
    <mergeCell ref="T49:T53"/>
    <mergeCell ref="U49:U53"/>
    <mergeCell ref="V49:V53"/>
    <mergeCell ref="Y49:Y53"/>
    <mergeCell ref="AB44:AB48"/>
    <mergeCell ref="A46:A50"/>
    <mergeCell ref="B46:B50"/>
    <mergeCell ref="D46:D50"/>
    <mergeCell ref="E46:E50"/>
    <mergeCell ref="F46:F50"/>
    <mergeCell ref="G46:G50"/>
    <mergeCell ref="J46:J50"/>
    <mergeCell ref="M46:M50"/>
    <mergeCell ref="P49:P53"/>
    <mergeCell ref="Q44:Q48"/>
    <mergeCell ref="S44:S48"/>
    <mergeCell ref="T44:T48"/>
    <mergeCell ref="U44:U48"/>
    <mergeCell ref="V44:V48"/>
    <mergeCell ref="Y44:Y48"/>
    <mergeCell ref="AB39:AB43"/>
    <mergeCell ref="A41:A45"/>
    <mergeCell ref="B41:B45"/>
    <mergeCell ref="D41:D45"/>
    <mergeCell ref="E41:E45"/>
    <mergeCell ref="F41:F45"/>
    <mergeCell ref="G41:G45"/>
    <mergeCell ref="J41:J45"/>
    <mergeCell ref="M41:M45"/>
    <mergeCell ref="P44:P48"/>
    <mergeCell ref="AB34:AB38"/>
    <mergeCell ref="A37:N38"/>
    <mergeCell ref="A39:N40"/>
    <mergeCell ref="P39:P43"/>
    <mergeCell ref="Q39:Q43"/>
    <mergeCell ref="S39:S43"/>
    <mergeCell ref="T39:T43"/>
    <mergeCell ref="U39:U43"/>
    <mergeCell ref="V39:V43"/>
    <mergeCell ref="Y39:Y43"/>
    <mergeCell ref="J32:J36"/>
    <mergeCell ref="M32:M36"/>
    <mergeCell ref="P32:AC33"/>
    <mergeCell ref="P34:P38"/>
    <mergeCell ref="Q34:Q38"/>
    <mergeCell ref="S34:S38"/>
    <mergeCell ref="T34:T38"/>
    <mergeCell ref="U34:U38"/>
    <mergeCell ref="V34:V38"/>
    <mergeCell ref="Y34:Y38"/>
    <mergeCell ref="U27:U31"/>
    <mergeCell ref="V27:V31"/>
    <mergeCell ref="Y27:Y31"/>
    <mergeCell ref="AB27:AB31"/>
    <mergeCell ref="A32:A36"/>
    <mergeCell ref="B32:B36"/>
    <mergeCell ref="D32:D36"/>
    <mergeCell ref="E32:E36"/>
    <mergeCell ref="F32:F36"/>
    <mergeCell ref="G32:G36"/>
    <mergeCell ref="J27:J31"/>
    <mergeCell ref="M27:M31"/>
    <mergeCell ref="P27:P31"/>
    <mergeCell ref="Q27:Q31"/>
    <mergeCell ref="S27:S31"/>
    <mergeCell ref="T27:T31"/>
    <mergeCell ref="U22:U26"/>
    <mergeCell ref="V22:V26"/>
    <mergeCell ref="Y22:Y26"/>
    <mergeCell ref="AB22:AB26"/>
    <mergeCell ref="A27:A31"/>
    <mergeCell ref="B27:B31"/>
    <mergeCell ref="D27:D31"/>
    <mergeCell ref="E27:E31"/>
    <mergeCell ref="F27:F31"/>
    <mergeCell ref="G27:G31"/>
    <mergeCell ref="J22:J26"/>
    <mergeCell ref="M22:M26"/>
    <mergeCell ref="P22:P26"/>
    <mergeCell ref="Q22:Q26"/>
    <mergeCell ref="S22:S26"/>
    <mergeCell ref="T22:T26"/>
    <mergeCell ref="U17:U21"/>
    <mergeCell ref="V17:V21"/>
    <mergeCell ref="Y17:Y21"/>
    <mergeCell ref="AB17:AB21"/>
    <mergeCell ref="A22:A26"/>
    <mergeCell ref="B22:B26"/>
    <mergeCell ref="D22:D26"/>
    <mergeCell ref="E22:E26"/>
    <mergeCell ref="F22:F26"/>
    <mergeCell ref="G22:G26"/>
    <mergeCell ref="J17:J21"/>
    <mergeCell ref="M17:M21"/>
    <mergeCell ref="P17:P21"/>
    <mergeCell ref="Q17:Q21"/>
    <mergeCell ref="S17:S21"/>
    <mergeCell ref="T17:T21"/>
    <mergeCell ref="U12:U16"/>
    <mergeCell ref="V12:V16"/>
    <mergeCell ref="Y12:Y16"/>
    <mergeCell ref="AB12:AB16"/>
    <mergeCell ref="A17:A21"/>
    <mergeCell ref="B17:B21"/>
    <mergeCell ref="D17:D21"/>
    <mergeCell ref="E17:E21"/>
    <mergeCell ref="F17:F21"/>
    <mergeCell ref="G17:G21"/>
    <mergeCell ref="J12:J16"/>
    <mergeCell ref="M12:M16"/>
    <mergeCell ref="P12:P16"/>
    <mergeCell ref="Q12:Q16"/>
    <mergeCell ref="S12:S16"/>
    <mergeCell ref="T12:T16"/>
    <mergeCell ref="U7:U11"/>
    <mergeCell ref="V7:V11"/>
    <mergeCell ref="Y7:Y11"/>
    <mergeCell ref="AB7:AB11"/>
    <mergeCell ref="A12:A16"/>
    <mergeCell ref="B12:B16"/>
    <mergeCell ref="D12:D16"/>
    <mergeCell ref="E12:E16"/>
    <mergeCell ref="F12:F16"/>
    <mergeCell ref="G12:G16"/>
    <mergeCell ref="J7:J11"/>
    <mergeCell ref="M7:M11"/>
    <mergeCell ref="P7:P11"/>
    <mergeCell ref="Q7:Q11"/>
    <mergeCell ref="S7:S11"/>
    <mergeCell ref="T7:T11"/>
    <mergeCell ref="W3:X6"/>
    <mergeCell ref="Y3:Y6"/>
    <mergeCell ref="Z3:AA6"/>
    <mergeCell ref="AB3:AB6"/>
    <mergeCell ref="A7:A11"/>
    <mergeCell ref="B7:B11"/>
    <mergeCell ref="D7:D11"/>
    <mergeCell ref="E7:E11"/>
    <mergeCell ref="F7:F11"/>
    <mergeCell ref="G7:G11"/>
    <mergeCell ref="V2:V6"/>
    <mergeCell ref="W2:Y2"/>
    <mergeCell ref="Z2:AB2"/>
    <mergeCell ref="AC2:AC6"/>
    <mergeCell ref="D3:D6"/>
    <mergeCell ref="E3:E6"/>
    <mergeCell ref="F3:F6"/>
    <mergeCell ref="H3:I6"/>
    <mergeCell ref="J3:J6"/>
    <mergeCell ref="K3:L6"/>
    <mergeCell ref="K2:M2"/>
    <mergeCell ref="N2:N6"/>
    <mergeCell ref="P2:P6"/>
    <mergeCell ref="Q2:Q6"/>
    <mergeCell ref="R2:R6"/>
    <mergeCell ref="S2:U2"/>
    <mergeCell ref="M3:M6"/>
    <mergeCell ref="S3:S6"/>
    <mergeCell ref="T3:T6"/>
    <mergeCell ref="U3:U6"/>
    <mergeCell ref="A2:A6"/>
    <mergeCell ref="B2:B6"/>
    <mergeCell ref="C2:C6"/>
    <mergeCell ref="D2:F2"/>
    <mergeCell ref="G2:G6"/>
    <mergeCell ref="H2:J2"/>
  </mergeCells>
  <phoneticPr fontId="22"/>
  <printOptions horizontalCentered="1" verticalCentered="1"/>
  <pageMargins left="0.39370078740157483" right="0.39370078740157483" top="0.39370078740157483" bottom="0.39370078740157483" header="0.39370078740157483" footer="0.39370078740157483"/>
  <pageSetup paperSize="12" scale="6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52A88-06A9-4BFE-B407-6FDDEBD6D7C6}">
  <sheetPr>
    <pageSetUpPr fitToPage="1"/>
  </sheetPr>
  <dimension ref="A1:U60"/>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151</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367</v>
      </c>
      <c r="C13" s="120" t="s">
        <v>156</v>
      </c>
      <c r="D13" s="120"/>
      <c r="E13" s="61"/>
      <c r="F13" s="61"/>
      <c r="G13" s="120"/>
      <c r="H13" s="119">
        <v>20</v>
      </c>
      <c r="I13" s="120" t="s">
        <v>367</v>
      </c>
      <c r="J13" s="120" t="s">
        <v>156</v>
      </c>
      <c r="K13" s="119">
        <v>10</v>
      </c>
      <c r="L13" s="120" t="s">
        <v>368</v>
      </c>
      <c r="M13" s="120" t="s">
        <v>158</v>
      </c>
      <c r="N13" s="119">
        <v>10</v>
      </c>
      <c r="O13" s="118"/>
    </row>
    <row r="14" spans="1:21" ht="14.25" x14ac:dyDescent="0.15">
      <c r="A14" s="255"/>
      <c r="B14" s="120"/>
      <c r="C14" s="120" t="s">
        <v>157</v>
      </c>
      <c r="D14" s="120" t="s">
        <v>127</v>
      </c>
      <c r="E14" s="61"/>
      <c r="F14" s="61"/>
      <c r="G14" s="120"/>
      <c r="H14" s="119">
        <v>20</v>
      </c>
      <c r="I14" s="120"/>
      <c r="J14" s="120" t="s">
        <v>157</v>
      </c>
      <c r="K14" s="119">
        <v>20</v>
      </c>
      <c r="L14" s="120"/>
      <c r="M14" s="120" t="s">
        <v>157</v>
      </c>
      <c r="N14" s="119">
        <v>10</v>
      </c>
      <c r="O14" s="118" t="s">
        <v>127</v>
      </c>
    </row>
    <row r="15" spans="1:21" ht="14.25" x14ac:dyDescent="0.15">
      <c r="A15" s="255"/>
      <c r="B15" s="120"/>
      <c r="C15" s="120" t="s">
        <v>158</v>
      </c>
      <c r="D15" s="120"/>
      <c r="E15" s="61"/>
      <c r="F15" s="61"/>
      <c r="G15" s="120"/>
      <c r="H15" s="119">
        <v>10</v>
      </c>
      <c r="I15" s="120"/>
      <c r="J15" s="120" t="s">
        <v>158</v>
      </c>
      <c r="K15" s="119">
        <v>10</v>
      </c>
      <c r="L15" s="123"/>
      <c r="M15" s="123"/>
      <c r="N15" s="122"/>
      <c r="O15" s="126"/>
    </row>
    <row r="16" spans="1:21" ht="14.25" x14ac:dyDescent="0.15">
      <c r="A16" s="255"/>
      <c r="B16" s="120"/>
      <c r="C16" s="120"/>
      <c r="D16" s="120"/>
      <c r="E16" s="61"/>
      <c r="F16" s="61"/>
      <c r="G16" s="120" t="s">
        <v>53</v>
      </c>
      <c r="H16" s="119" t="s">
        <v>439</v>
      </c>
      <c r="I16" s="120"/>
      <c r="J16" s="120"/>
      <c r="K16" s="119"/>
      <c r="L16" s="120" t="s">
        <v>373</v>
      </c>
      <c r="M16" s="120" t="s">
        <v>31</v>
      </c>
      <c r="N16" s="119">
        <v>5</v>
      </c>
      <c r="O16" s="118"/>
    </row>
    <row r="17" spans="1:15" ht="14.25" x14ac:dyDescent="0.15">
      <c r="A17" s="255"/>
      <c r="B17" s="120"/>
      <c r="C17" s="120"/>
      <c r="D17" s="120"/>
      <c r="E17" s="61"/>
      <c r="F17" s="61"/>
      <c r="G17" s="120" t="s">
        <v>42</v>
      </c>
      <c r="H17" s="119" t="s">
        <v>438</v>
      </c>
      <c r="I17" s="120"/>
      <c r="J17" s="120"/>
      <c r="K17" s="119"/>
      <c r="L17" s="120"/>
      <c r="M17" s="120"/>
      <c r="N17" s="119"/>
      <c r="O17" s="118"/>
    </row>
    <row r="18" spans="1:15" ht="14.25" x14ac:dyDescent="0.15">
      <c r="A18" s="255"/>
      <c r="B18" s="123"/>
      <c r="C18" s="123"/>
      <c r="D18" s="123"/>
      <c r="E18" s="55"/>
      <c r="F18" s="55"/>
      <c r="G18" s="123"/>
      <c r="H18" s="122"/>
      <c r="I18" s="123"/>
      <c r="J18" s="123"/>
      <c r="K18" s="122"/>
      <c r="L18" s="120"/>
      <c r="M18" s="120"/>
      <c r="N18" s="119"/>
      <c r="O18" s="118"/>
    </row>
    <row r="19" spans="1:15" ht="14.25" x14ac:dyDescent="0.15">
      <c r="A19" s="255"/>
      <c r="B19" s="120" t="s">
        <v>371</v>
      </c>
      <c r="C19" s="120" t="s">
        <v>162</v>
      </c>
      <c r="D19" s="120"/>
      <c r="E19" s="61"/>
      <c r="F19" s="61"/>
      <c r="G19" s="120"/>
      <c r="H19" s="119">
        <v>10</v>
      </c>
      <c r="I19" s="120" t="s">
        <v>372</v>
      </c>
      <c r="J19" s="120" t="s">
        <v>31</v>
      </c>
      <c r="K19" s="119">
        <v>10</v>
      </c>
      <c r="L19" s="120"/>
      <c r="M19" s="120"/>
      <c r="N19" s="119"/>
      <c r="O19" s="118"/>
    </row>
    <row r="20" spans="1:15" ht="14.25" x14ac:dyDescent="0.15">
      <c r="A20" s="255"/>
      <c r="B20" s="120"/>
      <c r="C20" s="120" t="s">
        <v>31</v>
      </c>
      <c r="D20" s="120"/>
      <c r="E20" s="61"/>
      <c r="F20" s="61"/>
      <c r="G20" s="120"/>
      <c r="H20" s="119">
        <v>10</v>
      </c>
      <c r="I20" s="120"/>
      <c r="J20" s="120"/>
      <c r="K20" s="119"/>
      <c r="L20" s="120"/>
      <c r="M20" s="120"/>
      <c r="N20" s="119"/>
      <c r="O20" s="118"/>
    </row>
    <row r="21" spans="1:15" ht="14.25" x14ac:dyDescent="0.15">
      <c r="A21" s="255"/>
      <c r="B21" s="120"/>
      <c r="C21" s="120" t="s">
        <v>115</v>
      </c>
      <c r="D21" s="120"/>
      <c r="E21" s="61"/>
      <c r="F21" s="61"/>
      <c r="G21" s="120"/>
      <c r="H21" s="119">
        <v>10</v>
      </c>
      <c r="I21" s="123"/>
      <c r="J21" s="123"/>
      <c r="K21" s="122"/>
      <c r="L21" s="120"/>
      <c r="M21" s="120"/>
      <c r="N21" s="119"/>
      <c r="O21" s="118"/>
    </row>
    <row r="22" spans="1:15" ht="14.25" x14ac:dyDescent="0.15">
      <c r="A22" s="255"/>
      <c r="B22" s="120"/>
      <c r="C22" s="120"/>
      <c r="D22" s="120"/>
      <c r="E22" s="61"/>
      <c r="F22" s="61"/>
      <c r="G22" s="120" t="s">
        <v>32</v>
      </c>
      <c r="H22" s="119" t="s">
        <v>439</v>
      </c>
      <c r="I22" s="120" t="s">
        <v>43</v>
      </c>
      <c r="J22" s="120" t="s">
        <v>124</v>
      </c>
      <c r="K22" s="156">
        <v>0.05</v>
      </c>
      <c r="L22" s="120"/>
      <c r="M22" s="120"/>
      <c r="N22" s="119"/>
      <c r="O22" s="118"/>
    </row>
    <row r="23" spans="1:15" ht="14.25" x14ac:dyDescent="0.15">
      <c r="A23" s="255"/>
      <c r="B23" s="123"/>
      <c r="C23" s="123"/>
      <c r="D23" s="123"/>
      <c r="E23" s="55"/>
      <c r="F23" s="124"/>
      <c r="G23" s="123"/>
      <c r="H23" s="122"/>
      <c r="I23" s="120"/>
      <c r="J23" s="120"/>
      <c r="K23" s="119"/>
      <c r="L23" s="120"/>
      <c r="M23" s="120"/>
      <c r="N23" s="119"/>
      <c r="O23" s="118"/>
    </row>
    <row r="24" spans="1:15" ht="14.25" x14ac:dyDescent="0.15">
      <c r="A24" s="255"/>
      <c r="B24" s="120" t="s">
        <v>43</v>
      </c>
      <c r="C24" s="120" t="s">
        <v>124</v>
      </c>
      <c r="D24" s="120"/>
      <c r="E24" s="61" t="s">
        <v>36</v>
      </c>
      <c r="F24" s="61"/>
      <c r="G24" s="120"/>
      <c r="H24" s="156">
        <v>0.05</v>
      </c>
      <c r="I24" s="120"/>
      <c r="J24" s="120"/>
      <c r="K24" s="119"/>
      <c r="L24" s="120"/>
      <c r="M24" s="120"/>
      <c r="N24" s="119"/>
      <c r="O24" s="118"/>
    </row>
    <row r="25" spans="1:15" ht="14.25" x14ac:dyDescent="0.15">
      <c r="A25" s="255"/>
      <c r="B25" s="120"/>
      <c r="C25" s="120"/>
      <c r="D25" s="120"/>
      <c r="E25" s="61"/>
      <c r="F25" s="61"/>
      <c r="G25" s="120" t="s">
        <v>32</v>
      </c>
      <c r="H25" s="119" t="s">
        <v>439</v>
      </c>
      <c r="I25" s="120"/>
      <c r="J25" s="120"/>
      <c r="K25" s="119"/>
      <c r="L25" s="120"/>
      <c r="M25" s="120"/>
      <c r="N25" s="119"/>
      <c r="O25" s="118"/>
    </row>
    <row r="26" spans="1:15" ht="14.25" x14ac:dyDescent="0.15">
      <c r="A26" s="255"/>
      <c r="B26" s="120"/>
      <c r="C26" s="120"/>
      <c r="D26" s="120"/>
      <c r="E26" s="61"/>
      <c r="F26" s="61"/>
      <c r="G26" s="120" t="s">
        <v>46</v>
      </c>
      <c r="H26" s="119" t="s">
        <v>438</v>
      </c>
      <c r="I26" s="120"/>
      <c r="J26" s="120"/>
      <c r="K26" s="119"/>
      <c r="L26" s="120"/>
      <c r="M26" s="120"/>
      <c r="N26" s="119"/>
      <c r="O26" s="118"/>
    </row>
    <row r="27" spans="1:15" ht="15" thickBot="1" x14ac:dyDescent="0.2">
      <c r="A27" s="256"/>
      <c r="B27" s="117"/>
      <c r="C27" s="117"/>
      <c r="D27" s="117"/>
      <c r="E27" s="68"/>
      <c r="F27" s="68"/>
      <c r="G27" s="117"/>
      <c r="H27" s="116"/>
      <c r="I27" s="117"/>
      <c r="J27" s="117"/>
      <c r="K27" s="116"/>
      <c r="L27" s="117"/>
      <c r="M27" s="117"/>
      <c r="N27" s="116"/>
      <c r="O27" s="115"/>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sheetData>
  <mergeCells count="15">
    <mergeCell ref="L8:N8"/>
    <mergeCell ref="O8:O10"/>
    <mergeCell ref="I9:K9"/>
    <mergeCell ref="L9:N9"/>
    <mergeCell ref="A11:A27"/>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32"/>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165</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119</v>
      </c>
      <c r="C10" s="48" t="s">
        <v>166</v>
      </c>
      <c r="D10" s="49" t="s">
        <v>167</v>
      </c>
      <c r="E10" s="97">
        <v>0.5</v>
      </c>
      <c r="F10" s="51" t="s">
        <v>45</v>
      </c>
      <c r="G10" s="82"/>
      <c r="H10" s="86" t="s">
        <v>166</v>
      </c>
      <c r="I10" s="49" t="s">
        <v>167</v>
      </c>
      <c r="J10" s="51">
        <f>ROUNDUP(E10*0.75,2)</f>
        <v>0.38</v>
      </c>
      <c r="K10" s="51" t="s">
        <v>45</v>
      </c>
      <c r="L10" s="51"/>
      <c r="M10" s="51">
        <f>ROUNDUP((R5*E10)+(R6*J10)+(R7*(E10*2)),2)</f>
        <v>0</v>
      </c>
      <c r="N10" s="90">
        <f>M10</f>
        <v>0</v>
      </c>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168</v>
      </c>
      <c r="C12" s="60" t="s">
        <v>171</v>
      </c>
      <c r="D12" s="61"/>
      <c r="E12" s="65">
        <v>1</v>
      </c>
      <c r="F12" s="62" t="s">
        <v>79</v>
      </c>
      <c r="G12" s="84" t="s">
        <v>78</v>
      </c>
      <c r="H12" s="88" t="s">
        <v>171</v>
      </c>
      <c r="I12" s="61"/>
      <c r="J12" s="62">
        <f>ROUNDUP(E12*0.75,2)</f>
        <v>0.75</v>
      </c>
      <c r="K12" s="62" t="s">
        <v>79</v>
      </c>
      <c r="L12" s="62" t="s">
        <v>78</v>
      </c>
      <c r="M12" s="62">
        <f>ROUNDUP((R5*E12)+(R6*J12)+(R7*(E12*2)),2)</f>
        <v>0</v>
      </c>
      <c r="N12" s="92">
        <f>M12</f>
        <v>0</v>
      </c>
      <c r="O12" s="99" t="s">
        <v>277</v>
      </c>
      <c r="P12" s="63" t="s">
        <v>37</v>
      </c>
      <c r="Q12" s="61"/>
      <c r="R12" s="64">
        <v>3</v>
      </c>
      <c r="S12" s="65">
        <f t="shared" ref="S12:S18" si="0">ROUNDUP(R12*0.75,2)</f>
        <v>2.25</v>
      </c>
      <c r="T12" s="76">
        <f>ROUNDUP((R5*R12)+(R6*S12)+(R7*(R12*2)),2)</f>
        <v>0</v>
      </c>
    </row>
    <row r="13" spans="1:21" ht="18.75" customHeight="1" x14ac:dyDescent="0.15">
      <c r="A13" s="232"/>
      <c r="B13" s="80"/>
      <c r="C13" s="60" t="s">
        <v>30</v>
      </c>
      <c r="D13" s="61"/>
      <c r="E13" s="65">
        <v>20</v>
      </c>
      <c r="F13" s="62" t="s">
        <v>27</v>
      </c>
      <c r="G13" s="84"/>
      <c r="H13" s="88" t="s">
        <v>30</v>
      </c>
      <c r="I13" s="61"/>
      <c r="J13" s="62">
        <f>ROUNDUP(E13*0.75,2)</f>
        <v>15</v>
      </c>
      <c r="K13" s="62" t="s">
        <v>27</v>
      </c>
      <c r="L13" s="62"/>
      <c r="M13" s="62">
        <f>ROUNDUP((R5*E13)+(R6*J13)+(R7*(E13*2)),2)</f>
        <v>0</v>
      </c>
      <c r="N13" s="92">
        <f>ROUND(M13+(M13*6/100),2)</f>
        <v>0</v>
      </c>
      <c r="O13" s="36" t="s">
        <v>278</v>
      </c>
      <c r="P13" s="63" t="s">
        <v>64</v>
      </c>
      <c r="Q13" s="61"/>
      <c r="R13" s="64">
        <v>2</v>
      </c>
      <c r="S13" s="65">
        <f t="shared" si="0"/>
        <v>1.5</v>
      </c>
      <c r="T13" s="76">
        <f>ROUNDUP((R5*R13)+(R6*S13)+(R7*(R13*2)),2)</f>
        <v>0</v>
      </c>
    </row>
    <row r="14" spans="1:21" ht="18.75" customHeight="1" x14ac:dyDescent="0.15">
      <c r="A14" s="232"/>
      <c r="B14" s="80"/>
      <c r="C14" s="60" t="s">
        <v>172</v>
      </c>
      <c r="D14" s="61"/>
      <c r="E14" s="65">
        <v>5</v>
      </c>
      <c r="F14" s="62" t="s">
        <v>27</v>
      </c>
      <c r="G14" s="84"/>
      <c r="H14" s="88" t="s">
        <v>172</v>
      </c>
      <c r="I14" s="61"/>
      <c r="J14" s="62">
        <f>ROUNDUP(E14*0.75,2)</f>
        <v>3.75</v>
      </c>
      <c r="K14" s="62" t="s">
        <v>27</v>
      </c>
      <c r="L14" s="62"/>
      <c r="M14" s="62">
        <f>ROUNDUP((R5*E14)+(R6*J14)+(R7*(E14*2)),2)</f>
        <v>0</v>
      </c>
      <c r="N14" s="92">
        <f>ROUND(M14+(M14*10/100),2)</f>
        <v>0</v>
      </c>
      <c r="O14" s="80" t="s">
        <v>169</v>
      </c>
      <c r="P14" s="63" t="s">
        <v>64</v>
      </c>
      <c r="Q14" s="61"/>
      <c r="R14" s="64">
        <v>1</v>
      </c>
      <c r="S14" s="65">
        <f t="shared" si="0"/>
        <v>0.75</v>
      </c>
      <c r="T14" s="76">
        <f>ROUNDUP((R5*R14)+(R6*S14)+(R7*(R14*2)),2)</f>
        <v>0</v>
      </c>
    </row>
    <row r="15" spans="1:21" ht="18.75" customHeight="1" x14ac:dyDescent="0.15">
      <c r="A15" s="232"/>
      <c r="B15" s="80"/>
      <c r="C15" s="60" t="s">
        <v>173</v>
      </c>
      <c r="D15" s="61"/>
      <c r="E15" s="65">
        <v>5</v>
      </c>
      <c r="F15" s="62" t="s">
        <v>27</v>
      </c>
      <c r="G15" s="84"/>
      <c r="H15" s="88" t="s">
        <v>173</v>
      </c>
      <c r="I15" s="61"/>
      <c r="J15" s="62">
        <f>ROUNDUP(E15*0.75,2)</f>
        <v>3.75</v>
      </c>
      <c r="K15" s="62" t="s">
        <v>27</v>
      </c>
      <c r="L15" s="62"/>
      <c r="M15" s="62">
        <f>ROUNDUP((R5*E15)+(R6*J15)+(R7*(E15*2)),2)</f>
        <v>0</v>
      </c>
      <c r="N15" s="92">
        <f>ROUND(M15+(M15*15/100),2)</f>
        <v>0</v>
      </c>
      <c r="O15" s="80" t="s">
        <v>170</v>
      </c>
      <c r="P15" s="63" t="s">
        <v>53</v>
      </c>
      <c r="Q15" s="61"/>
      <c r="R15" s="64">
        <v>3</v>
      </c>
      <c r="S15" s="65">
        <f t="shared" si="0"/>
        <v>2.25</v>
      </c>
      <c r="T15" s="76">
        <f>ROUNDUP((R5*R15)+(R6*S15)+(R7*(R15*2)),2)</f>
        <v>0</v>
      </c>
    </row>
    <row r="16" spans="1:21" ht="18.75" customHeight="1" x14ac:dyDescent="0.15">
      <c r="A16" s="232"/>
      <c r="B16" s="80"/>
      <c r="C16" s="60"/>
      <c r="D16" s="61"/>
      <c r="E16" s="65"/>
      <c r="F16" s="62"/>
      <c r="G16" s="84"/>
      <c r="H16" s="88"/>
      <c r="I16" s="61"/>
      <c r="J16" s="62"/>
      <c r="K16" s="62"/>
      <c r="L16" s="62"/>
      <c r="M16" s="62"/>
      <c r="N16" s="92"/>
      <c r="O16" s="80" t="s">
        <v>24</v>
      </c>
      <c r="P16" s="63" t="s">
        <v>35</v>
      </c>
      <c r="Q16" s="61" t="s">
        <v>36</v>
      </c>
      <c r="R16" s="64">
        <v>1.5</v>
      </c>
      <c r="S16" s="65">
        <f t="shared" si="0"/>
        <v>1.1300000000000001</v>
      </c>
      <c r="T16" s="76">
        <f>ROUNDUP((R5*R16)+(R6*S16)+(R7*(R16*2)),2)</f>
        <v>0</v>
      </c>
    </row>
    <row r="17" spans="1:20" ht="18.75" customHeight="1" x14ac:dyDescent="0.15">
      <c r="A17" s="232"/>
      <c r="B17" s="80"/>
      <c r="C17" s="60"/>
      <c r="D17" s="61"/>
      <c r="E17" s="65"/>
      <c r="F17" s="62"/>
      <c r="G17" s="84"/>
      <c r="H17" s="88"/>
      <c r="I17" s="61"/>
      <c r="J17" s="62"/>
      <c r="K17" s="62"/>
      <c r="L17" s="62"/>
      <c r="M17" s="62"/>
      <c r="N17" s="92"/>
      <c r="O17" s="80"/>
      <c r="P17" s="63" t="s">
        <v>33</v>
      </c>
      <c r="Q17" s="61"/>
      <c r="R17" s="64">
        <v>2</v>
      </c>
      <c r="S17" s="65">
        <f t="shared" si="0"/>
        <v>1.5</v>
      </c>
      <c r="T17" s="76">
        <f>ROUNDUP((R5*R17)+(R6*S17)+(R7*(R17*2)),2)</f>
        <v>0</v>
      </c>
    </row>
    <row r="18" spans="1:20" ht="18.75" customHeight="1" x14ac:dyDescent="0.15">
      <c r="A18" s="232"/>
      <c r="B18" s="80"/>
      <c r="C18" s="60"/>
      <c r="D18" s="61"/>
      <c r="E18" s="65"/>
      <c r="F18" s="62"/>
      <c r="G18" s="84"/>
      <c r="H18" s="88"/>
      <c r="I18" s="61"/>
      <c r="J18" s="62"/>
      <c r="K18" s="62"/>
      <c r="L18" s="62"/>
      <c r="M18" s="62"/>
      <c r="N18" s="92"/>
      <c r="O18" s="80"/>
      <c r="P18" s="63" t="s">
        <v>34</v>
      </c>
      <c r="Q18" s="61"/>
      <c r="R18" s="64">
        <v>1</v>
      </c>
      <c r="S18" s="65">
        <f t="shared" si="0"/>
        <v>0.75</v>
      </c>
      <c r="T18" s="76">
        <f>ROUNDUP((R5*R18)+(R6*S18)+(R7*(R18*2)),2)</f>
        <v>0</v>
      </c>
    </row>
    <row r="19" spans="1:20" ht="18.75" customHeight="1" x14ac:dyDescent="0.15">
      <c r="A19" s="232"/>
      <c r="B19" s="79"/>
      <c r="C19" s="54"/>
      <c r="D19" s="55"/>
      <c r="E19" s="56"/>
      <c r="F19" s="57"/>
      <c r="G19" s="83"/>
      <c r="H19" s="87"/>
      <c r="I19" s="55"/>
      <c r="J19" s="57"/>
      <c r="K19" s="57"/>
      <c r="L19" s="57"/>
      <c r="M19" s="57"/>
      <c r="N19" s="91"/>
      <c r="O19" s="79"/>
      <c r="P19" s="58"/>
      <c r="Q19" s="55"/>
      <c r="R19" s="59"/>
      <c r="S19" s="56"/>
      <c r="T19" s="75"/>
    </row>
    <row r="20" spans="1:20" ht="18.75" customHeight="1" x14ac:dyDescent="0.15">
      <c r="A20" s="232"/>
      <c r="B20" s="80" t="s">
        <v>174</v>
      </c>
      <c r="C20" s="60" t="s">
        <v>81</v>
      </c>
      <c r="D20" s="61"/>
      <c r="E20" s="65">
        <v>40</v>
      </c>
      <c r="F20" s="62" t="s">
        <v>27</v>
      </c>
      <c r="G20" s="84"/>
      <c r="H20" s="88" t="s">
        <v>81</v>
      </c>
      <c r="I20" s="61"/>
      <c r="J20" s="62">
        <f>ROUNDUP(E20*0.75,2)</f>
        <v>30</v>
      </c>
      <c r="K20" s="62" t="s">
        <v>27</v>
      </c>
      <c r="L20" s="62"/>
      <c r="M20" s="62">
        <f>ROUNDUP((R5*E20)+(R6*J20)+(R7*(E20*2)),2)</f>
        <v>0</v>
      </c>
      <c r="N20" s="92">
        <f>M20</f>
        <v>0</v>
      </c>
      <c r="O20" s="80" t="s">
        <v>175</v>
      </c>
      <c r="P20" s="63" t="s">
        <v>33</v>
      </c>
      <c r="Q20" s="61"/>
      <c r="R20" s="64">
        <v>1</v>
      </c>
      <c r="S20" s="65">
        <f>ROUNDUP(R20*0.75,2)</f>
        <v>0.75</v>
      </c>
      <c r="T20" s="76">
        <f>ROUNDUP((R5*R20)+(R6*S20)+(R7*(R20*2)),2)</f>
        <v>0</v>
      </c>
    </row>
    <row r="21" spans="1:20" ht="18.75" customHeight="1" x14ac:dyDescent="0.15">
      <c r="A21" s="232"/>
      <c r="B21" s="80"/>
      <c r="C21" s="60" t="s">
        <v>31</v>
      </c>
      <c r="D21" s="61"/>
      <c r="E21" s="65">
        <v>10</v>
      </c>
      <c r="F21" s="62" t="s">
        <v>27</v>
      </c>
      <c r="G21" s="84"/>
      <c r="H21" s="88" t="s">
        <v>31</v>
      </c>
      <c r="I21" s="61"/>
      <c r="J21" s="62">
        <f>ROUNDUP(E21*0.75,2)</f>
        <v>7.5</v>
      </c>
      <c r="K21" s="62" t="s">
        <v>27</v>
      </c>
      <c r="L21" s="62"/>
      <c r="M21" s="62">
        <f>ROUNDUP((R5*E21)+(R6*J21)+(R7*(E21*2)),2)</f>
        <v>0</v>
      </c>
      <c r="N21" s="92">
        <f>ROUND(M21+(M21*10/100),2)</f>
        <v>0</v>
      </c>
      <c r="O21" s="80" t="s">
        <v>176</v>
      </c>
      <c r="P21" s="63" t="s">
        <v>42</v>
      </c>
      <c r="Q21" s="61"/>
      <c r="R21" s="64">
        <v>0.1</v>
      </c>
      <c r="S21" s="65">
        <f>ROUNDUP(R21*0.75,2)</f>
        <v>0.08</v>
      </c>
      <c r="T21" s="76">
        <f>ROUNDUP((R5*R21)+(R6*S21)+(R7*(R21*2)),2)</f>
        <v>0</v>
      </c>
    </row>
    <row r="22" spans="1:20" ht="18.75" customHeight="1" x14ac:dyDescent="0.15">
      <c r="A22" s="232"/>
      <c r="B22" s="80"/>
      <c r="C22" s="60" t="s">
        <v>100</v>
      </c>
      <c r="D22" s="61"/>
      <c r="E22" s="65">
        <v>5</v>
      </c>
      <c r="F22" s="62" t="s">
        <v>27</v>
      </c>
      <c r="G22" s="84"/>
      <c r="H22" s="88" t="s">
        <v>100</v>
      </c>
      <c r="I22" s="61"/>
      <c r="J22" s="62">
        <f>ROUNDUP(E22*0.75,2)</f>
        <v>3.75</v>
      </c>
      <c r="K22" s="62" t="s">
        <v>27</v>
      </c>
      <c r="L22" s="62"/>
      <c r="M22" s="62">
        <f>ROUNDUP((R5*E22)+(R6*J22)+(R7*(E22*2)),2)</f>
        <v>0</v>
      </c>
      <c r="N22" s="92">
        <f>M22</f>
        <v>0</v>
      </c>
      <c r="O22" s="80" t="s">
        <v>24</v>
      </c>
      <c r="P22" s="63" t="s">
        <v>123</v>
      </c>
      <c r="Q22" s="61"/>
      <c r="R22" s="64">
        <v>2</v>
      </c>
      <c r="S22" s="65">
        <f>ROUNDUP(R22*0.75,2)</f>
        <v>1.5</v>
      </c>
      <c r="T22" s="76">
        <f>ROUNDUP((R5*R22)+(R6*S22)+(R7*(R22*2)),2)</f>
        <v>0</v>
      </c>
    </row>
    <row r="23" spans="1:20" ht="18.75" customHeight="1" x14ac:dyDescent="0.15">
      <c r="A23" s="232"/>
      <c r="B23" s="80"/>
      <c r="C23" s="60"/>
      <c r="D23" s="61"/>
      <c r="E23" s="65"/>
      <c r="F23" s="62"/>
      <c r="G23" s="84"/>
      <c r="H23" s="88"/>
      <c r="I23" s="61"/>
      <c r="J23" s="62"/>
      <c r="K23" s="62"/>
      <c r="L23" s="62"/>
      <c r="M23" s="62"/>
      <c r="N23" s="92"/>
      <c r="O23" s="80"/>
      <c r="P23" s="63" t="s">
        <v>64</v>
      </c>
      <c r="Q23" s="61"/>
      <c r="R23" s="64">
        <v>2</v>
      </c>
      <c r="S23" s="65">
        <f>ROUNDUP(R23*0.75,2)</f>
        <v>1.5</v>
      </c>
      <c r="T23" s="76">
        <f>ROUNDUP((R5*R23)+(R6*S23)+(R7*(R23*2)),2)</f>
        <v>0</v>
      </c>
    </row>
    <row r="24" spans="1:20" ht="18.75" customHeight="1" x14ac:dyDescent="0.15">
      <c r="A24" s="232"/>
      <c r="B24" s="79"/>
      <c r="C24" s="54"/>
      <c r="D24" s="55"/>
      <c r="E24" s="56"/>
      <c r="F24" s="57"/>
      <c r="G24" s="83"/>
      <c r="H24" s="87"/>
      <c r="I24" s="55"/>
      <c r="J24" s="57"/>
      <c r="K24" s="57"/>
      <c r="L24" s="57"/>
      <c r="M24" s="57"/>
      <c r="N24" s="91"/>
      <c r="O24" s="79"/>
      <c r="P24" s="58"/>
      <c r="Q24" s="55"/>
      <c r="R24" s="59"/>
      <c r="S24" s="56"/>
      <c r="T24" s="75"/>
    </row>
    <row r="25" spans="1:20" ht="18.75" customHeight="1" x14ac:dyDescent="0.15">
      <c r="A25" s="232"/>
      <c r="B25" s="80" t="s">
        <v>43</v>
      </c>
      <c r="C25" s="60" t="s">
        <v>61</v>
      </c>
      <c r="D25" s="61" t="s">
        <v>62</v>
      </c>
      <c r="E25" s="73">
        <v>0.25</v>
      </c>
      <c r="F25" s="62" t="s">
        <v>63</v>
      </c>
      <c r="G25" s="84"/>
      <c r="H25" s="88" t="s">
        <v>61</v>
      </c>
      <c r="I25" s="61" t="s">
        <v>62</v>
      </c>
      <c r="J25" s="62">
        <f>ROUNDUP(E25*0.75,2)</f>
        <v>0.19</v>
      </c>
      <c r="K25" s="62" t="s">
        <v>63</v>
      </c>
      <c r="L25" s="62"/>
      <c r="M25" s="62">
        <f>ROUNDUP((R5*E25)+(R6*J25)+(R7*(E25*2)),2)</f>
        <v>0</v>
      </c>
      <c r="N25" s="92">
        <f>M25</f>
        <v>0</v>
      </c>
      <c r="O25" s="80" t="s">
        <v>24</v>
      </c>
      <c r="P25" s="63" t="s">
        <v>32</v>
      </c>
      <c r="Q25" s="61"/>
      <c r="R25" s="64">
        <v>100</v>
      </c>
      <c r="S25" s="65">
        <f>ROUNDUP(R25*0.75,2)</f>
        <v>75</v>
      </c>
      <c r="T25" s="76">
        <f>ROUNDUP((R5*R25)+(R6*S25)+(R7*(R25*2)),2)</f>
        <v>0</v>
      </c>
    </row>
    <row r="26" spans="1:20" ht="18.75" customHeight="1" x14ac:dyDescent="0.15">
      <c r="A26" s="232"/>
      <c r="B26" s="80"/>
      <c r="C26" s="60" t="s">
        <v>68</v>
      </c>
      <c r="D26" s="61"/>
      <c r="E26" s="65">
        <v>3</v>
      </c>
      <c r="F26" s="62" t="s">
        <v>27</v>
      </c>
      <c r="G26" s="84"/>
      <c r="H26" s="88" t="s">
        <v>68</v>
      </c>
      <c r="I26" s="61"/>
      <c r="J26" s="62">
        <f>ROUNDUP(E26*0.75,2)</f>
        <v>2.25</v>
      </c>
      <c r="K26" s="62" t="s">
        <v>27</v>
      </c>
      <c r="L26" s="62"/>
      <c r="M26" s="62">
        <f>ROUNDUP((R5*E26)+(R6*J26)+(R7*(E26*2)),2)</f>
        <v>0</v>
      </c>
      <c r="N26" s="92">
        <f>ROUND(M26+(M26*40/100),2)</f>
        <v>0</v>
      </c>
      <c r="O26" s="80"/>
      <c r="P26" s="63" t="s">
        <v>46</v>
      </c>
      <c r="Q26" s="61"/>
      <c r="R26" s="64">
        <v>3</v>
      </c>
      <c r="S26" s="65">
        <f>ROUNDUP(R26*0.75,2)</f>
        <v>2.25</v>
      </c>
      <c r="T26" s="76">
        <f>ROUNDUP((R5*R26)+(R6*S26)+(R7*(R26*2)),2)</f>
        <v>0</v>
      </c>
    </row>
    <row r="27" spans="1:20" ht="18.75" customHeight="1" x14ac:dyDescent="0.15">
      <c r="A27" s="232"/>
      <c r="B27" s="79"/>
      <c r="C27" s="54"/>
      <c r="D27" s="55"/>
      <c r="E27" s="56"/>
      <c r="F27" s="57"/>
      <c r="G27" s="83"/>
      <c r="H27" s="87"/>
      <c r="I27" s="55"/>
      <c r="J27" s="57"/>
      <c r="K27" s="57"/>
      <c r="L27" s="57"/>
      <c r="M27" s="57"/>
      <c r="N27" s="91"/>
      <c r="O27" s="79"/>
      <c r="P27" s="58"/>
      <c r="Q27" s="55"/>
      <c r="R27" s="59"/>
      <c r="S27" s="56"/>
      <c r="T27" s="75"/>
    </row>
    <row r="28" spans="1:20" ht="18.75" customHeight="1" x14ac:dyDescent="0.15">
      <c r="A28" s="232"/>
      <c r="B28" s="80" t="s">
        <v>47</v>
      </c>
      <c r="C28" s="60" t="s">
        <v>51</v>
      </c>
      <c r="D28" s="61" t="s">
        <v>52</v>
      </c>
      <c r="E28" s="65">
        <v>40</v>
      </c>
      <c r="F28" s="62" t="s">
        <v>27</v>
      </c>
      <c r="G28" s="84"/>
      <c r="H28" s="88" t="s">
        <v>51</v>
      </c>
      <c r="I28" s="61" t="s">
        <v>52</v>
      </c>
      <c r="J28" s="62">
        <f>ROUNDUP(E28*0.75,2)</f>
        <v>30</v>
      </c>
      <c r="K28" s="62" t="s">
        <v>27</v>
      </c>
      <c r="L28" s="62"/>
      <c r="M28" s="62">
        <f>ROUNDUP((R5*E28)+(R6*J28)+(R7*(E28*2)),2)</f>
        <v>0</v>
      </c>
      <c r="N28" s="92">
        <f>M28</f>
        <v>0</v>
      </c>
      <c r="O28" s="80" t="s">
        <v>48</v>
      </c>
      <c r="P28" s="63" t="s">
        <v>33</v>
      </c>
      <c r="Q28" s="61"/>
      <c r="R28" s="64">
        <v>1</v>
      </c>
      <c r="S28" s="65">
        <f>ROUNDUP(R28*0.75,2)</f>
        <v>0.75</v>
      </c>
      <c r="T28" s="76">
        <f>ROUNDUP((R5*R28)+(R6*S28)+(R7*(R28*2)),2)</f>
        <v>0</v>
      </c>
    </row>
    <row r="29" spans="1:20" ht="18.75" customHeight="1" x14ac:dyDescent="0.15">
      <c r="A29" s="232"/>
      <c r="B29" s="80"/>
      <c r="C29" s="60"/>
      <c r="D29" s="61"/>
      <c r="E29" s="65"/>
      <c r="F29" s="62"/>
      <c r="G29" s="84"/>
      <c r="H29" s="88"/>
      <c r="I29" s="61"/>
      <c r="J29" s="62"/>
      <c r="K29" s="62"/>
      <c r="L29" s="62"/>
      <c r="M29" s="62"/>
      <c r="N29" s="92"/>
      <c r="O29" s="80" t="s">
        <v>49</v>
      </c>
      <c r="P29" s="63" t="s">
        <v>53</v>
      </c>
      <c r="Q29" s="61"/>
      <c r="R29" s="64">
        <v>3</v>
      </c>
      <c r="S29" s="65">
        <f>ROUNDUP(R29*0.75,2)</f>
        <v>2.25</v>
      </c>
      <c r="T29" s="76">
        <f>ROUNDUP((R5*R29)+(R6*S29)+(R7*(R29*2)),2)</f>
        <v>0</v>
      </c>
    </row>
    <row r="30" spans="1:20" ht="18.75" customHeight="1" x14ac:dyDescent="0.15">
      <c r="A30" s="232"/>
      <c r="B30" s="80"/>
      <c r="C30" s="60"/>
      <c r="D30" s="61"/>
      <c r="E30" s="65"/>
      <c r="F30" s="62"/>
      <c r="G30" s="84"/>
      <c r="H30" s="88"/>
      <c r="I30" s="61"/>
      <c r="J30" s="62"/>
      <c r="K30" s="62"/>
      <c r="L30" s="62"/>
      <c r="M30" s="62"/>
      <c r="N30" s="92"/>
      <c r="O30" s="80" t="s">
        <v>50</v>
      </c>
      <c r="P30" s="63"/>
      <c r="Q30" s="61"/>
      <c r="R30" s="64"/>
      <c r="S30" s="65"/>
      <c r="T30" s="76"/>
    </row>
    <row r="31" spans="1:20" ht="18.75" customHeight="1" x14ac:dyDescent="0.15">
      <c r="A31" s="232"/>
      <c r="B31" s="80"/>
      <c r="C31" s="60"/>
      <c r="D31" s="61"/>
      <c r="E31" s="65"/>
      <c r="F31" s="62"/>
      <c r="G31" s="84"/>
      <c r="H31" s="88"/>
      <c r="I31" s="61"/>
      <c r="J31" s="62"/>
      <c r="K31" s="62"/>
      <c r="L31" s="62"/>
      <c r="M31" s="62"/>
      <c r="N31" s="92"/>
      <c r="O31" s="80" t="s">
        <v>24</v>
      </c>
      <c r="P31" s="63"/>
      <c r="Q31" s="61"/>
      <c r="R31" s="64"/>
      <c r="S31" s="65"/>
      <c r="T31" s="76"/>
    </row>
    <row r="32" spans="1:20" ht="18.75" customHeight="1" thickBot="1" x14ac:dyDescent="0.2">
      <c r="A32" s="233"/>
      <c r="B32" s="81"/>
      <c r="C32" s="67"/>
      <c r="D32" s="68"/>
      <c r="E32" s="69"/>
      <c r="F32" s="70"/>
      <c r="G32" s="85"/>
      <c r="H32" s="89"/>
      <c r="I32" s="68"/>
      <c r="J32" s="70"/>
      <c r="K32" s="70"/>
      <c r="L32" s="70"/>
      <c r="M32" s="70"/>
      <c r="N32" s="93"/>
      <c r="O32" s="81"/>
      <c r="P32" s="71"/>
      <c r="Q32" s="68"/>
      <c r="R32" s="72"/>
      <c r="S32" s="69"/>
      <c r="T32" s="77"/>
    </row>
  </sheetData>
  <mergeCells count="5">
    <mergeCell ref="H1:O1"/>
    <mergeCell ref="A2:T2"/>
    <mergeCell ref="Q3:T3"/>
    <mergeCell ref="A8:F8"/>
    <mergeCell ref="A10:A32"/>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612A-B63E-4B5F-9881-B0666532FB15}">
  <sheetPr>
    <pageSetUpPr fitToPage="1"/>
  </sheetPr>
  <dimension ref="A1:U48"/>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165</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378</v>
      </c>
      <c r="C13" s="120" t="s">
        <v>171</v>
      </c>
      <c r="D13" s="120" t="s">
        <v>78</v>
      </c>
      <c r="E13" s="61"/>
      <c r="F13" s="61"/>
      <c r="G13" s="120"/>
      <c r="H13" s="129">
        <v>0.7</v>
      </c>
      <c r="I13" s="120" t="s">
        <v>378</v>
      </c>
      <c r="J13" s="120" t="s">
        <v>171</v>
      </c>
      <c r="K13" s="129">
        <v>0.3</v>
      </c>
      <c r="L13" s="120" t="s">
        <v>379</v>
      </c>
      <c r="M13" s="120" t="s">
        <v>171</v>
      </c>
      <c r="N13" s="128">
        <v>0.2</v>
      </c>
      <c r="O13" s="118" t="s">
        <v>78</v>
      </c>
    </row>
    <row r="14" spans="1:21" ht="14.25" x14ac:dyDescent="0.15">
      <c r="A14" s="255"/>
      <c r="B14" s="120"/>
      <c r="C14" s="120" t="s">
        <v>30</v>
      </c>
      <c r="D14" s="120"/>
      <c r="E14" s="61"/>
      <c r="F14" s="61"/>
      <c r="G14" s="120"/>
      <c r="H14" s="119">
        <v>10</v>
      </c>
      <c r="I14" s="120"/>
      <c r="J14" s="120" t="s">
        <v>30</v>
      </c>
      <c r="K14" s="119">
        <v>10</v>
      </c>
      <c r="L14" s="120"/>
      <c r="M14" s="120" t="s">
        <v>30</v>
      </c>
      <c r="N14" s="119">
        <v>10</v>
      </c>
      <c r="O14" s="118"/>
    </row>
    <row r="15" spans="1:21" ht="14.25" x14ac:dyDescent="0.15">
      <c r="A15" s="255"/>
      <c r="B15" s="120"/>
      <c r="C15" s="120" t="s">
        <v>172</v>
      </c>
      <c r="D15" s="120"/>
      <c r="E15" s="61"/>
      <c r="F15" s="61"/>
      <c r="G15" s="120"/>
      <c r="H15" s="119">
        <v>5</v>
      </c>
      <c r="I15" s="120"/>
      <c r="J15" s="120" t="s">
        <v>172</v>
      </c>
      <c r="K15" s="119">
        <v>5</v>
      </c>
      <c r="L15" s="123"/>
      <c r="M15" s="123"/>
      <c r="N15" s="122"/>
      <c r="O15" s="126"/>
    </row>
    <row r="16" spans="1:21" ht="14.25" x14ac:dyDescent="0.15">
      <c r="A16" s="255"/>
      <c r="B16" s="120"/>
      <c r="C16" s="120" t="s">
        <v>173</v>
      </c>
      <c r="D16" s="120"/>
      <c r="E16" s="61"/>
      <c r="F16" s="61"/>
      <c r="G16" s="120"/>
      <c r="H16" s="119">
        <v>5</v>
      </c>
      <c r="I16" s="120"/>
      <c r="J16" s="120" t="s">
        <v>173</v>
      </c>
      <c r="K16" s="119">
        <v>5</v>
      </c>
      <c r="L16" s="120" t="s">
        <v>380</v>
      </c>
      <c r="M16" s="120" t="s">
        <v>81</v>
      </c>
      <c r="N16" s="119">
        <v>10</v>
      </c>
      <c r="O16" s="118"/>
    </row>
    <row r="17" spans="1:15" ht="14.25" x14ac:dyDescent="0.15">
      <c r="A17" s="255"/>
      <c r="B17" s="120"/>
      <c r="C17" s="120"/>
      <c r="D17" s="120"/>
      <c r="E17" s="61"/>
      <c r="F17" s="61"/>
      <c r="G17" s="120" t="s">
        <v>32</v>
      </c>
      <c r="H17" s="119" t="s">
        <v>439</v>
      </c>
      <c r="I17" s="120"/>
      <c r="J17" s="120"/>
      <c r="K17" s="119"/>
      <c r="L17" s="120"/>
      <c r="M17" s="120" t="s">
        <v>31</v>
      </c>
      <c r="N17" s="119">
        <v>5</v>
      </c>
      <c r="O17" s="118"/>
    </row>
    <row r="18" spans="1:15" ht="14.25" x14ac:dyDescent="0.15">
      <c r="A18" s="255"/>
      <c r="B18" s="123"/>
      <c r="C18" s="123"/>
      <c r="D18" s="123"/>
      <c r="E18" s="55"/>
      <c r="F18" s="55"/>
      <c r="G18" s="123"/>
      <c r="H18" s="122"/>
      <c r="I18" s="123"/>
      <c r="J18" s="123"/>
      <c r="K18" s="122"/>
      <c r="L18" s="120"/>
      <c r="M18" s="120" t="s">
        <v>100</v>
      </c>
      <c r="N18" s="119">
        <v>5</v>
      </c>
      <c r="O18" s="118"/>
    </row>
    <row r="19" spans="1:15" ht="14.25" x14ac:dyDescent="0.15">
      <c r="A19" s="255"/>
      <c r="B19" s="120" t="s">
        <v>174</v>
      </c>
      <c r="C19" s="120" t="s">
        <v>81</v>
      </c>
      <c r="D19" s="120"/>
      <c r="E19" s="61"/>
      <c r="F19" s="61"/>
      <c r="G19" s="120"/>
      <c r="H19" s="119">
        <v>20</v>
      </c>
      <c r="I19" s="120" t="s">
        <v>174</v>
      </c>
      <c r="J19" s="120" t="s">
        <v>81</v>
      </c>
      <c r="K19" s="119">
        <v>10</v>
      </c>
      <c r="L19" s="123"/>
      <c r="M19" s="123"/>
      <c r="N19" s="122"/>
      <c r="O19" s="126"/>
    </row>
    <row r="20" spans="1:15" ht="14.25" x14ac:dyDescent="0.15">
      <c r="A20" s="255"/>
      <c r="B20" s="120"/>
      <c r="C20" s="120" t="s">
        <v>31</v>
      </c>
      <c r="D20" s="120"/>
      <c r="E20" s="61"/>
      <c r="F20" s="61"/>
      <c r="G20" s="120"/>
      <c r="H20" s="119">
        <v>5</v>
      </c>
      <c r="I20" s="120"/>
      <c r="J20" s="120" t="s">
        <v>31</v>
      </c>
      <c r="K20" s="119">
        <v>5</v>
      </c>
      <c r="L20" s="120" t="s">
        <v>47</v>
      </c>
      <c r="M20" s="120" t="s">
        <v>51</v>
      </c>
      <c r="N20" s="119">
        <v>10</v>
      </c>
      <c r="O20" s="118"/>
    </row>
    <row r="21" spans="1:15" ht="14.25" x14ac:dyDescent="0.15">
      <c r="A21" s="255"/>
      <c r="B21" s="120"/>
      <c r="C21" s="120" t="s">
        <v>100</v>
      </c>
      <c r="D21" s="120"/>
      <c r="E21" s="61"/>
      <c r="F21" s="61"/>
      <c r="G21" s="120"/>
      <c r="H21" s="119">
        <v>5</v>
      </c>
      <c r="I21" s="120"/>
      <c r="J21" s="120" t="s">
        <v>100</v>
      </c>
      <c r="K21" s="119">
        <v>5</v>
      </c>
      <c r="L21" s="120"/>
      <c r="M21" s="120"/>
      <c r="N21" s="119"/>
      <c r="O21" s="118"/>
    </row>
    <row r="22" spans="1:15" ht="14.25" x14ac:dyDescent="0.15">
      <c r="A22" s="255"/>
      <c r="B22" s="123"/>
      <c r="C22" s="123"/>
      <c r="D22" s="123"/>
      <c r="E22" s="55"/>
      <c r="F22" s="55"/>
      <c r="G22" s="123"/>
      <c r="H22" s="122"/>
      <c r="I22" s="123"/>
      <c r="J22" s="123"/>
      <c r="K22" s="122"/>
      <c r="L22" s="120"/>
      <c r="M22" s="120"/>
      <c r="N22" s="119"/>
      <c r="O22" s="118"/>
    </row>
    <row r="23" spans="1:15" ht="14.25" x14ac:dyDescent="0.15">
      <c r="A23" s="255"/>
      <c r="B23" s="120" t="s">
        <v>43</v>
      </c>
      <c r="C23" s="120" t="s">
        <v>61</v>
      </c>
      <c r="D23" s="120"/>
      <c r="E23" s="61" t="s">
        <v>62</v>
      </c>
      <c r="F23" s="157"/>
      <c r="G23" s="120"/>
      <c r="H23" s="121">
        <v>0.13</v>
      </c>
      <c r="I23" s="120" t="s">
        <v>43</v>
      </c>
      <c r="J23" s="120" t="s">
        <v>440</v>
      </c>
      <c r="K23" s="121">
        <v>0.13</v>
      </c>
      <c r="L23" s="120"/>
      <c r="M23" s="120"/>
      <c r="N23" s="119"/>
      <c r="O23" s="118"/>
    </row>
    <row r="24" spans="1:15" ht="14.25" x14ac:dyDescent="0.15">
      <c r="A24" s="255"/>
      <c r="B24" s="120"/>
      <c r="C24" s="120"/>
      <c r="D24" s="120"/>
      <c r="E24" s="61"/>
      <c r="F24" s="61"/>
      <c r="G24" s="120" t="s">
        <v>32</v>
      </c>
      <c r="H24" s="119" t="s">
        <v>439</v>
      </c>
      <c r="I24" s="120"/>
      <c r="J24" s="120"/>
      <c r="K24" s="119"/>
      <c r="L24" s="120"/>
      <c r="M24" s="120"/>
      <c r="N24" s="119"/>
      <c r="O24" s="118"/>
    </row>
    <row r="25" spans="1:15" ht="14.25" x14ac:dyDescent="0.15">
      <c r="A25" s="255"/>
      <c r="B25" s="120"/>
      <c r="C25" s="120"/>
      <c r="D25" s="120"/>
      <c r="E25" s="61"/>
      <c r="F25" s="61"/>
      <c r="G25" s="120" t="s">
        <v>46</v>
      </c>
      <c r="H25" s="119" t="s">
        <v>438</v>
      </c>
      <c r="I25" s="120"/>
      <c r="J25" s="120"/>
      <c r="K25" s="119"/>
      <c r="L25" s="120"/>
      <c r="M25" s="120"/>
      <c r="N25" s="119"/>
      <c r="O25" s="118"/>
    </row>
    <row r="26" spans="1:15" ht="14.25" x14ac:dyDescent="0.15">
      <c r="A26" s="255"/>
      <c r="B26" s="123"/>
      <c r="C26" s="123"/>
      <c r="D26" s="123"/>
      <c r="E26" s="55"/>
      <c r="F26" s="55"/>
      <c r="G26" s="123"/>
      <c r="H26" s="122"/>
      <c r="I26" s="123"/>
      <c r="J26" s="123"/>
      <c r="K26" s="122"/>
      <c r="L26" s="120"/>
      <c r="M26" s="120"/>
      <c r="N26" s="119"/>
      <c r="O26" s="118"/>
    </row>
    <row r="27" spans="1:15" ht="14.25" x14ac:dyDescent="0.15">
      <c r="A27" s="255"/>
      <c r="B27" s="120" t="s">
        <v>47</v>
      </c>
      <c r="C27" s="120" t="s">
        <v>51</v>
      </c>
      <c r="D27" s="120"/>
      <c r="E27" s="61" t="s">
        <v>52</v>
      </c>
      <c r="F27" s="61"/>
      <c r="G27" s="120"/>
      <c r="H27" s="119">
        <v>30</v>
      </c>
      <c r="I27" s="120" t="s">
        <v>47</v>
      </c>
      <c r="J27" s="120" t="s">
        <v>51</v>
      </c>
      <c r="K27" s="119">
        <v>20</v>
      </c>
      <c r="L27" s="120"/>
      <c r="M27" s="120"/>
      <c r="N27" s="119"/>
      <c r="O27" s="118"/>
    </row>
    <row r="28" spans="1:15" ht="14.25" x14ac:dyDescent="0.15">
      <c r="A28" s="255"/>
      <c r="B28" s="120"/>
      <c r="C28" s="120"/>
      <c r="D28" s="120"/>
      <c r="E28" s="61"/>
      <c r="F28" s="61"/>
      <c r="G28" s="120" t="s">
        <v>33</v>
      </c>
      <c r="H28" s="119" t="s">
        <v>438</v>
      </c>
      <c r="I28" s="120"/>
      <c r="J28" s="120"/>
      <c r="K28" s="119"/>
      <c r="L28" s="120"/>
      <c r="M28" s="120"/>
      <c r="N28" s="119"/>
      <c r="O28" s="118"/>
    </row>
    <row r="29" spans="1:15" ht="15" thickBot="1" x14ac:dyDescent="0.2">
      <c r="A29" s="256"/>
      <c r="B29" s="117"/>
      <c r="C29" s="117"/>
      <c r="D29" s="117"/>
      <c r="E29" s="68"/>
      <c r="F29" s="68"/>
      <c r="G29" s="117"/>
      <c r="H29" s="116"/>
      <c r="I29" s="117"/>
      <c r="J29" s="117"/>
      <c r="K29" s="116"/>
      <c r="L29" s="117"/>
      <c r="M29" s="117"/>
      <c r="N29" s="116"/>
      <c r="O29" s="115"/>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sheetData>
  <mergeCells count="15">
    <mergeCell ref="L8:N8"/>
    <mergeCell ref="O8:O10"/>
    <mergeCell ref="I9:K9"/>
    <mergeCell ref="L9:N9"/>
    <mergeCell ref="A11:A29"/>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24"/>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204</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23</v>
      </c>
      <c r="C10" s="48"/>
      <c r="D10" s="49"/>
      <c r="E10" s="50"/>
      <c r="F10" s="51"/>
      <c r="G10" s="82"/>
      <c r="H10" s="86"/>
      <c r="I10" s="49"/>
      <c r="J10" s="51"/>
      <c r="K10" s="51"/>
      <c r="L10" s="51"/>
      <c r="M10" s="51"/>
      <c r="N10" s="90"/>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205</v>
      </c>
      <c r="C12" s="60" t="s">
        <v>85</v>
      </c>
      <c r="D12" s="61"/>
      <c r="E12" s="65">
        <v>40</v>
      </c>
      <c r="F12" s="62" t="s">
        <v>27</v>
      </c>
      <c r="G12" s="84"/>
      <c r="H12" s="88" t="s">
        <v>85</v>
      </c>
      <c r="I12" s="61"/>
      <c r="J12" s="62">
        <f>ROUNDUP(E12*0.75,2)</f>
        <v>30</v>
      </c>
      <c r="K12" s="62" t="s">
        <v>27</v>
      </c>
      <c r="L12" s="62"/>
      <c r="M12" s="62">
        <f>ROUNDUP((R5*E12)+(R6*J12)+(R7*(E12*2)),2)</f>
        <v>0</v>
      </c>
      <c r="N12" s="92">
        <f>M12</f>
        <v>0</v>
      </c>
      <c r="O12" s="80" t="s">
        <v>206</v>
      </c>
      <c r="P12" s="63" t="s">
        <v>33</v>
      </c>
      <c r="Q12" s="61"/>
      <c r="R12" s="64">
        <v>0.5</v>
      </c>
      <c r="S12" s="65">
        <f>ROUNDUP(R12*0.75,2)</f>
        <v>0.38</v>
      </c>
      <c r="T12" s="76">
        <f>ROUNDUP((R5*R12)+(R6*S12)+(R7*(R12*2)),2)</f>
        <v>0</v>
      </c>
    </row>
    <row r="13" spans="1:21" ht="18.75" customHeight="1" x14ac:dyDescent="0.15">
      <c r="A13" s="232"/>
      <c r="B13" s="80"/>
      <c r="C13" s="60" t="s">
        <v>30</v>
      </c>
      <c r="D13" s="61"/>
      <c r="E13" s="65">
        <v>20</v>
      </c>
      <c r="F13" s="62" t="s">
        <v>27</v>
      </c>
      <c r="G13" s="84"/>
      <c r="H13" s="88" t="s">
        <v>30</v>
      </c>
      <c r="I13" s="61"/>
      <c r="J13" s="62">
        <f>ROUNDUP(E13*0.75,2)</f>
        <v>15</v>
      </c>
      <c r="K13" s="62" t="s">
        <v>27</v>
      </c>
      <c r="L13" s="62"/>
      <c r="M13" s="62">
        <f>ROUNDUP((R5*E13)+(R6*J13)+(R7*(E13*2)),2)</f>
        <v>0</v>
      </c>
      <c r="N13" s="92">
        <f>ROUND(M13+(M13*6/100),2)</f>
        <v>0</v>
      </c>
      <c r="O13" s="80" t="s">
        <v>207</v>
      </c>
      <c r="P13" s="63" t="s">
        <v>35</v>
      </c>
      <c r="Q13" s="61" t="s">
        <v>36</v>
      </c>
      <c r="R13" s="64">
        <v>1.5</v>
      </c>
      <c r="S13" s="65">
        <f>ROUNDUP(R13*0.75,2)</f>
        <v>1.1300000000000001</v>
      </c>
      <c r="T13" s="76">
        <f>ROUNDUP((R5*R13)+(R6*S13)+(R7*(R13*2)),2)</f>
        <v>0</v>
      </c>
    </row>
    <row r="14" spans="1:21" ht="18.75" customHeight="1" x14ac:dyDescent="0.15">
      <c r="A14" s="232"/>
      <c r="B14" s="80"/>
      <c r="C14" s="60" t="s">
        <v>114</v>
      </c>
      <c r="D14" s="61"/>
      <c r="E14" s="65">
        <v>20</v>
      </c>
      <c r="F14" s="62" t="s">
        <v>27</v>
      </c>
      <c r="G14" s="84"/>
      <c r="H14" s="88" t="s">
        <v>114</v>
      </c>
      <c r="I14" s="61"/>
      <c r="J14" s="62">
        <f>ROUNDUP(E14*0.75,2)</f>
        <v>15</v>
      </c>
      <c r="K14" s="62" t="s">
        <v>27</v>
      </c>
      <c r="L14" s="62"/>
      <c r="M14" s="62">
        <f>ROUNDUP((R5*E14)+(R6*J14)+(R7*(E14*2)),2)</f>
        <v>0</v>
      </c>
      <c r="N14" s="92">
        <f>M14</f>
        <v>0</v>
      </c>
      <c r="O14" s="80" t="s">
        <v>44</v>
      </c>
      <c r="P14" s="63" t="s">
        <v>34</v>
      </c>
      <c r="Q14" s="61"/>
      <c r="R14" s="64">
        <v>1</v>
      </c>
      <c r="S14" s="65">
        <f>ROUNDUP(R14*0.75,2)</f>
        <v>0.75</v>
      </c>
      <c r="T14" s="76">
        <f>ROUNDUP((R5*R14)+(R6*S14)+(R7*(R14*2)),2)</f>
        <v>0</v>
      </c>
    </row>
    <row r="15" spans="1:21" ht="18.75" customHeight="1" x14ac:dyDescent="0.15">
      <c r="A15" s="232"/>
      <c r="B15" s="80"/>
      <c r="C15" s="60" t="s">
        <v>208</v>
      </c>
      <c r="D15" s="61"/>
      <c r="E15" s="65">
        <v>5</v>
      </c>
      <c r="F15" s="62" t="s">
        <v>27</v>
      </c>
      <c r="G15" s="84"/>
      <c r="H15" s="88" t="s">
        <v>208</v>
      </c>
      <c r="I15" s="61"/>
      <c r="J15" s="62">
        <f>ROUNDUP(E15*0.75,2)</f>
        <v>3.75</v>
      </c>
      <c r="K15" s="62" t="s">
        <v>27</v>
      </c>
      <c r="L15" s="62"/>
      <c r="M15" s="62">
        <f>ROUNDUP((R5*E15)+(R6*J15)+(R7*(E15*2)),2)</f>
        <v>0</v>
      </c>
      <c r="N15" s="92">
        <f>M15</f>
        <v>0</v>
      </c>
      <c r="O15" s="80"/>
      <c r="P15" s="63" t="s">
        <v>65</v>
      </c>
      <c r="Q15" s="61"/>
      <c r="R15" s="64">
        <v>1</v>
      </c>
      <c r="S15" s="65">
        <f>ROUNDUP(R15*0.75,2)</f>
        <v>0.75</v>
      </c>
      <c r="T15" s="76">
        <f>ROUNDUP((R5*R15)+(R6*S15)+(R7*(R15*2)),2)</f>
        <v>0</v>
      </c>
    </row>
    <row r="16" spans="1:21" ht="18.75" customHeight="1" x14ac:dyDescent="0.15">
      <c r="A16" s="232"/>
      <c r="B16" s="80"/>
      <c r="C16" s="60"/>
      <c r="D16" s="61"/>
      <c r="E16" s="65"/>
      <c r="F16" s="62"/>
      <c r="G16" s="84"/>
      <c r="H16" s="88"/>
      <c r="I16" s="61"/>
      <c r="J16" s="62"/>
      <c r="K16" s="62"/>
      <c r="L16" s="62"/>
      <c r="M16" s="62"/>
      <c r="N16" s="92"/>
      <c r="O16" s="80"/>
      <c r="P16" s="63" t="s">
        <v>28</v>
      </c>
      <c r="Q16" s="61"/>
      <c r="R16" s="64">
        <v>2</v>
      </c>
      <c r="S16" s="65">
        <f>ROUNDUP(R16*0.75,2)</f>
        <v>1.5</v>
      </c>
      <c r="T16" s="76">
        <f>ROUNDUP((R5*R16)+(R6*S16)+(R7*(R16*2)),2)</f>
        <v>0</v>
      </c>
    </row>
    <row r="17" spans="1:20" ht="18.75" customHeight="1" x14ac:dyDescent="0.15">
      <c r="A17" s="232"/>
      <c r="B17" s="79"/>
      <c r="C17" s="54"/>
      <c r="D17" s="55"/>
      <c r="E17" s="56"/>
      <c r="F17" s="57"/>
      <c r="G17" s="83"/>
      <c r="H17" s="87"/>
      <c r="I17" s="55"/>
      <c r="J17" s="57"/>
      <c r="K17" s="57"/>
      <c r="L17" s="57"/>
      <c r="M17" s="57"/>
      <c r="N17" s="91"/>
      <c r="O17" s="79"/>
      <c r="P17" s="58"/>
      <c r="Q17" s="55"/>
      <c r="R17" s="59"/>
      <c r="S17" s="56"/>
      <c r="T17" s="75"/>
    </row>
    <row r="18" spans="1:20" ht="18.75" customHeight="1" x14ac:dyDescent="0.15">
      <c r="A18" s="232"/>
      <c r="B18" s="80" t="s">
        <v>209</v>
      </c>
      <c r="C18" s="60" t="s">
        <v>212</v>
      </c>
      <c r="D18" s="61"/>
      <c r="E18" s="65">
        <v>50</v>
      </c>
      <c r="F18" s="62" t="s">
        <v>27</v>
      </c>
      <c r="G18" s="84" t="s">
        <v>127</v>
      </c>
      <c r="H18" s="88" t="s">
        <v>212</v>
      </c>
      <c r="I18" s="61"/>
      <c r="J18" s="62">
        <f>ROUNDUP(E18*0.75,2)</f>
        <v>37.5</v>
      </c>
      <c r="K18" s="62" t="s">
        <v>27</v>
      </c>
      <c r="L18" s="62" t="s">
        <v>127</v>
      </c>
      <c r="M18" s="62">
        <f>ROUNDUP((R5*E18)+(R6*J18)+(R7*(E18*2)),2)</f>
        <v>0</v>
      </c>
      <c r="N18" s="92">
        <f>M18</f>
        <v>0</v>
      </c>
      <c r="O18" s="80" t="s">
        <v>210</v>
      </c>
      <c r="P18" s="63" t="s">
        <v>34</v>
      </c>
      <c r="Q18" s="61"/>
      <c r="R18" s="64">
        <v>2</v>
      </c>
      <c r="S18" s="65">
        <f>ROUNDUP(R18*0.75,2)</f>
        <v>1.5</v>
      </c>
      <c r="T18" s="76">
        <f>ROUNDUP((R5*R18)+(R6*S18)+(R7*(R18*2)),2)</f>
        <v>0</v>
      </c>
    </row>
    <row r="19" spans="1:20" ht="18.75" customHeight="1" x14ac:dyDescent="0.15">
      <c r="A19" s="232"/>
      <c r="B19" s="80"/>
      <c r="C19" s="60"/>
      <c r="D19" s="61"/>
      <c r="E19" s="65"/>
      <c r="F19" s="62"/>
      <c r="G19" s="84"/>
      <c r="H19" s="88"/>
      <c r="I19" s="61"/>
      <c r="J19" s="62"/>
      <c r="K19" s="62"/>
      <c r="L19" s="62"/>
      <c r="M19" s="62"/>
      <c r="N19" s="92"/>
      <c r="O19" s="80" t="s">
        <v>211</v>
      </c>
      <c r="P19" s="63" t="s">
        <v>35</v>
      </c>
      <c r="Q19" s="61" t="s">
        <v>36</v>
      </c>
      <c r="R19" s="64">
        <v>0.5</v>
      </c>
      <c r="S19" s="65">
        <f>ROUNDUP(R19*0.75,2)</f>
        <v>0.38</v>
      </c>
      <c r="T19" s="76">
        <f>ROUNDUP((R5*R19)+(R6*S19)+(R7*(R19*2)),2)</f>
        <v>0</v>
      </c>
    </row>
    <row r="20" spans="1:20" ht="18.75" customHeight="1" x14ac:dyDescent="0.15">
      <c r="A20" s="232"/>
      <c r="B20" s="80"/>
      <c r="C20" s="60"/>
      <c r="D20" s="61"/>
      <c r="E20" s="65"/>
      <c r="F20" s="62"/>
      <c r="G20" s="84"/>
      <c r="H20" s="88"/>
      <c r="I20" s="61"/>
      <c r="J20" s="62"/>
      <c r="K20" s="62"/>
      <c r="L20" s="62"/>
      <c r="M20" s="62"/>
      <c r="N20" s="92"/>
      <c r="O20" s="80" t="s">
        <v>24</v>
      </c>
      <c r="P20" s="63" t="s">
        <v>32</v>
      </c>
      <c r="Q20" s="61"/>
      <c r="R20" s="64">
        <v>30</v>
      </c>
      <c r="S20" s="65">
        <f>ROUNDUP(R20*0.75,2)</f>
        <v>22.5</v>
      </c>
      <c r="T20" s="76">
        <f>ROUNDUP((R5*R20)+(R6*S20)+(R7*(R20*2)),2)</f>
        <v>0</v>
      </c>
    </row>
    <row r="21" spans="1:20" ht="18.75" customHeight="1" x14ac:dyDescent="0.15">
      <c r="A21" s="232"/>
      <c r="B21" s="79"/>
      <c r="C21" s="54"/>
      <c r="D21" s="55"/>
      <c r="E21" s="56"/>
      <c r="F21" s="57"/>
      <c r="G21" s="83"/>
      <c r="H21" s="87"/>
      <c r="I21" s="55"/>
      <c r="J21" s="57"/>
      <c r="K21" s="57"/>
      <c r="L21" s="57"/>
      <c r="M21" s="57"/>
      <c r="N21" s="91"/>
      <c r="O21" s="79"/>
      <c r="P21" s="58"/>
      <c r="Q21" s="55"/>
      <c r="R21" s="59"/>
      <c r="S21" s="56"/>
      <c r="T21" s="75"/>
    </row>
    <row r="22" spans="1:20" ht="18.75" customHeight="1" x14ac:dyDescent="0.15">
      <c r="A22" s="232"/>
      <c r="B22" s="80" t="s">
        <v>43</v>
      </c>
      <c r="C22" s="60" t="s">
        <v>87</v>
      </c>
      <c r="D22" s="61"/>
      <c r="E22" s="65">
        <v>5</v>
      </c>
      <c r="F22" s="62" t="s">
        <v>27</v>
      </c>
      <c r="G22" s="84"/>
      <c r="H22" s="88" t="s">
        <v>87</v>
      </c>
      <c r="I22" s="61"/>
      <c r="J22" s="62">
        <f>ROUNDUP(E22*0.75,2)</f>
        <v>3.75</v>
      </c>
      <c r="K22" s="62" t="s">
        <v>27</v>
      </c>
      <c r="L22" s="62"/>
      <c r="M22" s="62">
        <f>ROUNDUP((R5*E22)+(R6*J22)+(R7*(E22*2)),2)</f>
        <v>0</v>
      </c>
      <c r="N22" s="92">
        <f>M22</f>
        <v>0</v>
      </c>
      <c r="O22" s="80" t="s">
        <v>24</v>
      </c>
      <c r="P22" s="63" t="s">
        <v>32</v>
      </c>
      <c r="Q22" s="61"/>
      <c r="R22" s="64">
        <v>100</v>
      </c>
      <c r="S22" s="65">
        <f>ROUNDUP(R22*0.75,2)</f>
        <v>75</v>
      </c>
      <c r="T22" s="76">
        <f>ROUNDUP((R5*R22)+(R6*S22)+(R7*(R22*2)),2)</f>
        <v>0</v>
      </c>
    </row>
    <row r="23" spans="1:20" ht="18.75" customHeight="1" x14ac:dyDescent="0.15">
      <c r="A23" s="232"/>
      <c r="B23" s="80"/>
      <c r="C23" s="60" t="s">
        <v>69</v>
      </c>
      <c r="D23" s="61"/>
      <c r="E23" s="65">
        <v>0.5</v>
      </c>
      <c r="F23" s="62" t="s">
        <v>27</v>
      </c>
      <c r="G23" s="84"/>
      <c r="H23" s="88" t="s">
        <v>69</v>
      </c>
      <c r="I23" s="61"/>
      <c r="J23" s="62">
        <f>ROUNDUP(E23*0.75,2)</f>
        <v>0.38</v>
      </c>
      <c r="K23" s="62" t="s">
        <v>27</v>
      </c>
      <c r="L23" s="62"/>
      <c r="M23" s="62">
        <f>ROUNDUP((R5*E23)+(R6*J23)+(R7*(E23*2)),2)</f>
        <v>0</v>
      </c>
      <c r="N23" s="92">
        <f>M23</f>
        <v>0</v>
      </c>
      <c r="O23" s="80"/>
      <c r="P23" s="63" t="s">
        <v>46</v>
      </c>
      <c r="Q23" s="61"/>
      <c r="R23" s="64">
        <v>3</v>
      </c>
      <c r="S23" s="65">
        <f>ROUNDUP(R23*0.75,2)</f>
        <v>2.25</v>
      </c>
      <c r="T23" s="76">
        <f>ROUNDUP((R5*R23)+(R6*S23)+(R7*(R23*2)),2)</f>
        <v>0</v>
      </c>
    </row>
    <row r="24" spans="1:20" ht="18.75" customHeight="1" thickBot="1" x14ac:dyDescent="0.2">
      <c r="A24" s="233"/>
      <c r="B24" s="81"/>
      <c r="C24" s="67"/>
      <c r="D24" s="68"/>
      <c r="E24" s="69"/>
      <c r="F24" s="70"/>
      <c r="G24" s="85"/>
      <c r="H24" s="89"/>
      <c r="I24" s="68"/>
      <c r="J24" s="70"/>
      <c r="K24" s="70"/>
      <c r="L24" s="70"/>
      <c r="M24" s="70"/>
      <c r="N24" s="93"/>
      <c r="O24" s="81"/>
      <c r="P24" s="71"/>
      <c r="Q24" s="68"/>
      <c r="R24" s="72"/>
      <c r="S24" s="69"/>
      <c r="T24" s="77"/>
    </row>
  </sheetData>
  <mergeCells count="5">
    <mergeCell ref="H1:O1"/>
    <mergeCell ref="A2:T2"/>
    <mergeCell ref="Q3:T3"/>
    <mergeCell ref="A8:F8"/>
    <mergeCell ref="A10:A24"/>
  </mergeCells>
  <phoneticPr fontId="20"/>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02FD6-3047-4752-9D05-E498CB413072}">
  <sheetPr>
    <pageSetUpPr fitToPage="1"/>
  </sheetPr>
  <dimension ref="A1:U65"/>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204</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400</v>
      </c>
      <c r="C13" s="120" t="s">
        <v>85</v>
      </c>
      <c r="D13" s="120"/>
      <c r="E13" s="61"/>
      <c r="F13" s="61"/>
      <c r="G13" s="120"/>
      <c r="H13" s="119">
        <v>20</v>
      </c>
      <c r="I13" s="120" t="s">
        <v>400</v>
      </c>
      <c r="J13" s="127" t="s">
        <v>156</v>
      </c>
      <c r="K13" s="119">
        <v>15</v>
      </c>
      <c r="L13" s="120" t="s">
        <v>401</v>
      </c>
      <c r="M13" s="120" t="s">
        <v>30</v>
      </c>
      <c r="N13" s="119">
        <v>10</v>
      </c>
      <c r="O13" s="118"/>
    </row>
    <row r="14" spans="1:21" ht="14.25" x14ac:dyDescent="0.15">
      <c r="A14" s="255"/>
      <c r="B14" s="120"/>
      <c r="C14" s="120" t="s">
        <v>30</v>
      </c>
      <c r="D14" s="120"/>
      <c r="E14" s="61"/>
      <c r="F14" s="61"/>
      <c r="G14" s="120"/>
      <c r="H14" s="119">
        <v>10</v>
      </c>
      <c r="I14" s="120"/>
      <c r="J14" s="120" t="s">
        <v>30</v>
      </c>
      <c r="K14" s="119">
        <v>10</v>
      </c>
      <c r="L14" s="120"/>
      <c r="M14" s="120" t="s">
        <v>114</v>
      </c>
      <c r="N14" s="119">
        <v>5</v>
      </c>
      <c r="O14" s="118"/>
    </row>
    <row r="15" spans="1:21" ht="14.25" x14ac:dyDescent="0.15">
      <c r="A15" s="255"/>
      <c r="B15" s="120"/>
      <c r="C15" s="120" t="s">
        <v>114</v>
      </c>
      <c r="D15" s="120"/>
      <c r="E15" s="61"/>
      <c r="F15" s="61"/>
      <c r="G15" s="120"/>
      <c r="H15" s="119">
        <v>10</v>
      </c>
      <c r="I15" s="120"/>
      <c r="J15" s="120" t="s">
        <v>114</v>
      </c>
      <c r="K15" s="119">
        <v>5</v>
      </c>
      <c r="L15" s="123"/>
      <c r="M15" s="123"/>
      <c r="N15" s="122"/>
      <c r="O15" s="126"/>
    </row>
    <row r="16" spans="1:21" ht="14.25" x14ac:dyDescent="0.15">
      <c r="A16" s="255"/>
      <c r="B16" s="120"/>
      <c r="C16" s="120" t="s">
        <v>208</v>
      </c>
      <c r="D16" s="120"/>
      <c r="E16" s="61"/>
      <c r="F16" s="61"/>
      <c r="G16" s="120"/>
      <c r="H16" s="119">
        <v>5</v>
      </c>
      <c r="I16" s="120"/>
      <c r="J16" s="120" t="s">
        <v>208</v>
      </c>
      <c r="K16" s="119">
        <v>5</v>
      </c>
      <c r="L16" s="120" t="s">
        <v>404</v>
      </c>
      <c r="M16" s="120" t="s">
        <v>212</v>
      </c>
      <c r="N16" s="119">
        <v>20</v>
      </c>
      <c r="O16" s="118" t="s">
        <v>127</v>
      </c>
    </row>
    <row r="17" spans="1:15" ht="14.25" x14ac:dyDescent="0.15">
      <c r="A17" s="255"/>
      <c r="B17" s="120"/>
      <c r="C17" s="120"/>
      <c r="D17" s="120"/>
      <c r="E17" s="61"/>
      <c r="F17" s="61"/>
      <c r="G17" s="120" t="s">
        <v>32</v>
      </c>
      <c r="H17" s="119" t="s">
        <v>439</v>
      </c>
      <c r="I17" s="120"/>
      <c r="J17" s="120"/>
      <c r="K17" s="119"/>
      <c r="L17" s="120"/>
      <c r="M17" s="120"/>
      <c r="N17" s="119"/>
      <c r="O17" s="118"/>
    </row>
    <row r="18" spans="1:15" ht="14.25" x14ac:dyDescent="0.15">
      <c r="A18" s="255"/>
      <c r="B18" s="120"/>
      <c r="C18" s="120"/>
      <c r="D18" s="120"/>
      <c r="E18" s="61"/>
      <c r="F18" s="61"/>
      <c r="G18" s="120" t="s">
        <v>33</v>
      </c>
      <c r="H18" s="119" t="s">
        <v>438</v>
      </c>
      <c r="I18" s="120"/>
      <c r="J18" s="120"/>
      <c r="K18" s="119"/>
      <c r="L18" s="120"/>
      <c r="M18" s="120"/>
      <c r="N18" s="119"/>
      <c r="O18" s="118"/>
    </row>
    <row r="19" spans="1:15" ht="14.25" x14ac:dyDescent="0.15">
      <c r="A19" s="255"/>
      <c r="B19" s="120"/>
      <c r="C19" s="120"/>
      <c r="D19" s="120"/>
      <c r="E19" s="61"/>
      <c r="F19" s="61" t="s">
        <v>36</v>
      </c>
      <c r="G19" s="120" t="s">
        <v>35</v>
      </c>
      <c r="H19" s="119" t="s">
        <v>438</v>
      </c>
      <c r="I19" s="120"/>
      <c r="J19" s="120"/>
      <c r="K19" s="119"/>
      <c r="L19" s="120"/>
      <c r="M19" s="120"/>
      <c r="N19" s="119"/>
      <c r="O19" s="118"/>
    </row>
    <row r="20" spans="1:15" ht="14.25" x14ac:dyDescent="0.15">
      <c r="A20" s="255"/>
      <c r="B20" s="123"/>
      <c r="C20" s="123"/>
      <c r="D20" s="123"/>
      <c r="E20" s="55"/>
      <c r="F20" s="55"/>
      <c r="G20" s="123"/>
      <c r="H20" s="122"/>
      <c r="I20" s="123"/>
      <c r="J20" s="123"/>
      <c r="K20" s="122"/>
      <c r="L20" s="120"/>
      <c r="M20" s="120"/>
      <c r="N20" s="119"/>
      <c r="O20" s="118"/>
    </row>
    <row r="21" spans="1:15" ht="14.25" x14ac:dyDescent="0.15">
      <c r="A21" s="255"/>
      <c r="B21" s="120" t="s">
        <v>403</v>
      </c>
      <c r="C21" s="120" t="s">
        <v>212</v>
      </c>
      <c r="D21" s="120" t="s">
        <v>127</v>
      </c>
      <c r="E21" s="61"/>
      <c r="F21" s="61"/>
      <c r="G21" s="120"/>
      <c r="H21" s="119">
        <v>20</v>
      </c>
      <c r="I21" s="120" t="s">
        <v>403</v>
      </c>
      <c r="J21" s="120" t="s">
        <v>212</v>
      </c>
      <c r="K21" s="119">
        <v>20</v>
      </c>
      <c r="L21" s="120"/>
      <c r="M21" s="120"/>
      <c r="N21" s="119"/>
      <c r="O21" s="118"/>
    </row>
    <row r="22" spans="1:15" ht="14.25" x14ac:dyDescent="0.15">
      <c r="A22" s="255"/>
      <c r="B22" s="120"/>
      <c r="C22" s="120"/>
      <c r="D22" s="120"/>
      <c r="E22" s="61"/>
      <c r="F22" s="61"/>
      <c r="G22" s="120" t="s">
        <v>32</v>
      </c>
      <c r="H22" s="119" t="s">
        <v>439</v>
      </c>
      <c r="I22" s="120"/>
      <c r="J22" s="120"/>
      <c r="K22" s="119"/>
      <c r="L22" s="120"/>
      <c r="M22" s="120"/>
      <c r="N22" s="119"/>
      <c r="O22" s="118"/>
    </row>
    <row r="23" spans="1:15" ht="14.25" x14ac:dyDescent="0.15">
      <c r="A23" s="255"/>
      <c r="B23" s="123"/>
      <c r="C23" s="123"/>
      <c r="D23" s="123"/>
      <c r="E23" s="55"/>
      <c r="F23" s="124"/>
      <c r="G23" s="123"/>
      <c r="H23" s="122"/>
      <c r="I23" s="123"/>
      <c r="J23" s="123"/>
      <c r="K23" s="122"/>
      <c r="L23" s="120"/>
      <c r="M23" s="120"/>
      <c r="N23" s="119"/>
      <c r="O23" s="118"/>
    </row>
    <row r="24" spans="1:15" ht="14.25" x14ac:dyDescent="0.15">
      <c r="A24" s="255"/>
      <c r="B24" s="120" t="s">
        <v>43</v>
      </c>
      <c r="C24" s="120" t="s">
        <v>69</v>
      </c>
      <c r="D24" s="120"/>
      <c r="E24" s="61"/>
      <c r="F24" s="61"/>
      <c r="G24" s="120"/>
      <c r="H24" s="119">
        <v>0.5</v>
      </c>
      <c r="I24" s="120" t="s">
        <v>43</v>
      </c>
      <c r="J24" s="120" t="s">
        <v>69</v>
      </c>
      <c r="K24" s="119">
        <v>0.5</v>
      </c>
      <c r="L24" s="120"/>
      <c r="M24" s="120"/>
      <c r="N24" s="119"/>
      <c r="O24" s="118"/>
    </row>
    <row r="25" spans="1:15" ht="14.25" x14ac:dyDescent="0.15">
      <c r="A25" s="255"/>
      <c r="B25" s="120"/>
      <c r="C25" s="120"/>
      <c r="D25" s="120"/>
      <c r="E25" s="61"/>
      <c r="F25" s="61"/>
      <c r="G25" s="120" t="s">
        <v>32</v>
      </c>
      <c r="H25" s="119" t="s">
        <v>439</v>
      </c>
      <c r="I25" s="120"/>
      <c r="J25" s="120"/>
      <c r="K25" s="119"/>
      <c r="L25" s="120"/>
      <c r="M25" s="120"/>
      <c r="N25" s="119"/>
      <c r="O25" s="118"/>
    </row>
    <row r="26" spans="1:15" ht="14.25" x14ac:dyDescent="0.15">
      <c r="A26" s="255"/>
      <c r="B26" s="120"/>
      <c r="C26" s="120"/>
      <c r="D26" s="120"/>
      <c r="E26" s="61"/>
      <c r="F26" s="61"/>
      <c r="G26" s="120" t="s">
        <v>46</v>
      </c>
      <c r="H26" s="119" t="s">
        <v>438</v>
      </c>
      <c r="I26" s="120"/>
      <c r="J26" s="120"/>
      <c r="K26" s="119"/>
      <c r="L26" s="120"/>
      <c r="M26" s="120"/>
      <c r="N26" s="119"/>
      <c r="O26" s="118"/>
    </row>
    <row r="27" spans="1:15" ht="15" thickBot="1" x14ac:dyDescent="0.2">
      <c r="A27" s="256"/>
      <c r="B27" s="117"/>
      <c r="C27" s="117"/>
      <c r="D27" s="117"/>
      <c r="E27" s="68"/>
      <c r="F27" s="68"/>
      <c r="G27" s="117"/>
      <c r="H27" s="116"/>
      <c r="I27" s="117"/>
      <c r="J27" s="117"/>
      <c r="K27" s="116"/>
      <c r="L27" s="117"/>
      <c r="M27" s="117"/>
      <c r="N27" s="116"/>
      <c r="O27" s="115"/>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row r="61" spans="2:14" ht="14.25" x14ac:dyDescent="0.15">
      <c r="B61" s="114"/>
      <c r="C61" s="114"/>
      <c r="D61" s="114"/>
      <c r="G61" s="114"/>
      <c r="H61" s="113"/>
      <c r="I61" s="114"/>
      <c r="J61" s="114"/>
      <c r="K61" s="113"/>
      <c r="L61" s="114"/>
      <c r="M61" s="114"/>
      <c r="N61" s="113"/>
    </row>
    <row r="62" spans="2:14" ht="14.25" x14ac:dyDescent="0.15">
      <c r="B62" s="114"/>
      <c r="C62" s="114"/>
      <c r="D62" s="114"/>
      <c r="G62" s="114"/>
      <c r="H62" s="113"/>
      <c r="I62" s="114"/>
      <c r="J62" s="114"/>
      <c r="K62" s="113"/>
      <c r="L62" s="114"/>
      <c r="M62" s="114"/>
      <c r="N62" s="113"/>
    </row>
    <row r="63" spans="2:14" ht="14.25" x14ac:dyDescent="0.15">
      <c r="B63" s="114"/>
      <c r="C63" s="114"/>
      <c r="D63" s="114"/>
      <c r="G63" s="114"/>
      <c r="H63" s="113"/>
      <c r="I63" s="114"/>
      <c r="J63" s="114"/>
      <c r="K63" s="113"/>
      <c r="L63" s="114"/>
      <c r="M63" s="114"/>
      <c r="N63" s="113"/>
    </row>
    <row r="64" spans="2:14" ht="14.25" x14ac:dyDescent="0.15">
      <c r="B64" s="114"/>
      <c r="C64" s="114"/>
      <c r="D64" s="114"/>
      <c r="G64" s="114"/>
      <c r="H64" s="113"/>
      <c r="I64" s="114"/>
      <c r="J64" s="114"/>
      <c r="K64" s="113"/>
      <c r="L64" s="114"/>
      <c r="M64" s="114"/>
      <c r="N64" s="113"/>
    </row>
    <row r="65" spans="2:14" ht="14.25" x14ac:dyDescent="0.15">
      <c r="B65" s="114"/>
      <c r="C65" s="114"/>
      <c r="D65" s="114"/>
      <c r="G65" s="114"/>
      <c r="H65" s="113"/>
      <c r="I65" s="114"/>
      <c r="J65" s="114"/>
      <c r="K65" s="113"/>
      <c r="L65" s="114"/>
      <c r="M65" s="114"/>
      <c r="N65" s="113"/>
    </row>
  </sheetData>
  <mergeCells count="15">
    <mergeCell ref="L8:N8"/>
    <mergeCell ref="O8:O10"/>
    <mergeCell ref="I9:K9"/>
    <mergeCell ref="L9:N9"/>
    <mergeCell ref="A11:A27"/>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27"/>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214</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215</v>
      </c>
      <c r="C10" s="48" t="s">
        <v>91</v>
      </c>
      <c r="D10" s="49" t="s">
        <v>36</v>
      </c>
      <c r="E10" s="50">
        <v>40</v>
      </c>
      <c r="F10" s="51" t="s">
        <v>27</v>
      </c>
      <c r="G10" s="82"/>
      <c r="H10" s="86" t="s">
        <v>91</v>
      </c>
      <c r="I10" s="49" t="s">
        <v>36</v>
      </c>
      <c r="J10" s="51">
        <f>ROUNDUP(E10*0.75,2)</f>
        <v>30</v>
      </c>
      <c r="K10" s="51" t="s">
        <v>27</v>
      </c>
      <c r="L10" s="51"/>
      <c r="M10" s="51">
        <f>ROUNDUP((R5*E10)+(R6*J10)+(R7*(E10*2)),2)</f>
        <v>0</v>
      </c>
      <c r="N10" s="90">
        <f>M10</f>
        <v>0</v>
      </c>
      <c r="O10" s="78" t="s">
        <v>216</v>
      </c>
      <c r="P10" s="52" t="s">
        <v>92</v>
      </c>
      <c r="Q10" s="49" t="s">
        <v>52</v>
      </c>
      <c r="R10" s="53">
        <v>2</v>
      </c>
      <c r="S10" s="50">
        <f t="shared" ref="S10:S15" si="0">ROUNDUP(R10*0.75,2)</f>
        <v>1.5</v>
      </c>
      <c r="T10" s="74">
        <f>ROUNDUP((R5*R10)+(R6*S10)+(R7*(R10*2)),2)</f>
        <v>0</v>
      </c>
    </row>
    <row r="11" spans="1:21" ht="18.75" customHeight="1" x14ac:dyDescent="0.15">
      <c r="A11" s="232"/>
      <c r="B11" s="80"/>
      <c r="C11" s="60" t="s">
        <v>93</v>
      </c>
      <c r="D11" s="61"/>
      <c r="E11" s="65">
        <v>20</v>
      </c>
      <c r="F11" s="62" t="s">
        <v>27</v>
      </c>
      <c r="G11" s="84"/>
      <c r="H11" s="88" t="s">
        <v>93</v>
      </c>
      <c r="I11" s="61"/>
      <c r="J11" s="62">
        <f>ROUNDUP(E11*0.75,2)</f>
        <v>15</v>
      </c>
      <c r="K11" s="62" t="s">
        <v>27</v>
      </c>
      <c r="L11" s="62"/>
      <c r="M11" s="62">
        <f>ROUNDUP((R5*E11)+(R6*J11)+(R7*(E11*2)),2)</f>
        <v>0</v>
      </c>
      <c r="N11" s="92">
        <f>M11</f>
        <v>0</v>
      </c>
      <c r="O11" s="99" t="s">
        <v>281</v>
      </c>
      <c r="P11" s="63" t="s">
        <v>65</v>
      </c>
      <c r="Q11" s="61"/>
      <c r="R11" s="64">
        <v>0.5</v>
      </c>
      <c r="S11" s="65">
        <f t="shared" si="0"/>
        <v>0.38</v>
      </c>
      <c r="T11" s="76">
        <f>ROUNDUP((R5*R11)+(R6*S11)+(R7*(R11*2)),2)</f>
        <v>0</v>
      </c>
    </row>
    <row r="12" spans="1:21" ht="18.75" customHeight="1" x14ac:dyDescent="0.15">
      <c r="A12" s="232"/>
      <c r="B12" s="80"/>
      <c r="C12" s="60" t="s">
        <v>30</v>
      </c>
      <c r="D12" s="61"/>
      <c r="E12" s="65">
        <v>30</v>
      </c>
      <c r="F12" s="62" t="s">
        <v>27</v>
      </c>
      <c r="G12" s="84"/>
      <c r="H12" s="88" t="s">
        <v>30</v>
      </c>
      <c r="I12" s="61"/>
      <c r="J12" s="62">
        <f>ROUNDUP(E12*0.75,2)</f>
        <v>22.5</v>
      </c>
      <c r="K12" s="62" t="s">
        <v>27</v>
      </c>
      <c r="L12" s="62"/>
      <c r="M12" s="62">
        <f>ROUNDUP((R5*E12)+(R6*J12)+(R7*(E12*2)),2)</f>
        <v>0</v>
      </c>
      <c r="N12" s="92">
        <f>ROUND(M12+(M12*6/100),2)</f>
        <v>0</v>
      </c>
      <c r="O12" s="36" t="s">
        <v>282</v>
      </c>
      <c r="P12" s="63" t="s">
        <v>64</v>
      </c>
      <c r="Q12" s="61"/>
      <c r="R12" s="64">
        <v>2</v>
      </c>
      <c r="S12" s="65">
        <f t="shared" si="0"/>
        <v>1.5</v>
      </c>
      <c r="T12" s="76">
        <f>ROUNDUP((R5*R12)+(R6*S12)+(R7*(R12*2)),2)</f>
        <v>0</v>
      </c>
    </row>
    <row r="13" spans="1:21" ht="18.75" customHeight="1" x14ac:dyDescent="0.15">
      <c r="A13" s="232"/>
      <c r="B13" s="80"/>
      <c r="C13" s="60" t="s">
        <v>218</v>
      </c>
      <c r="D13" s="61"/>
      <c r="E13" s="65">
        <v>10</v>
      </c>
      <c r="F13" s="62" t="s">
        <v>27</v>
      </c>
      <c r="G13" s="84"/>
      <c r="H13" s="88" t="s">
        <v>218</v>
      </c>
      <c r="I13" s="61"/>
      <c r="J13" s="62">
        <f>ROUNDUP(E13*0.75,2)</f>
        <v>7.5</v>
      </c>
      <c r="K13" s="62" t="s">
        <v>27</v>
      </c>
      <c r="L13" s="62"/>
      <c r="M13" s="62">
        <f>ROUNDUP((R5*E13)+(R6*J13)+(R7*(E13*2)),2)</f>
        <v>0</v>
      </c>
      <c r="N13" s="92">
        <f>M13</f>
        <v>0</v>
      </c>
      <c r="O13" s="80" t="s">
        <v>217</v>
      </c>
      <c r="P13" s="63" t="s">
        <v>111</v>
      </c>
      <c r="Q13" s="61"/>
      <c r="R13" s="64">
        <v>10</v>
      </c>
      <c r="S13" s="65">
        <f t="shared" si="0"/>
        <v>7.5</v>
      </c>
      <c r="T13" s="76">
        <f>ROUNDUP((R5*R13)+(R6*S13)+(R7*(R13*2)),2)</f>
        <v>0</v>
      </c>
    </row>
    <row r="14" spans="1:21" ht="18.75" customHeight="1" x14ac:dyDescent="0.15">
      <c r="A14" s="232"/>
      <c r="B14" s="80"/>
      <c r="C14" s="60" t="s">
        <v>181</v>
      </c>
      <c r="D14" s="61"/>
      <c r="E14" s="65">
        <v>5</v>
      </c>
      <c r="F14" s="62" t="s">
        <v>27</v>
      </c>
      <c r="G14" s="84"/>
      <c r="H14" s="88" t="s">
        <v>181</v>
      </c>
      <c r="I14" s="61"/>
      <c r="J14" s="62">
        <f>ROUNDUP(E14*0.75,2)</f>
        <v>3.75</v>
      </c>
      <c r="K14" s="62" t="s">
        <v>27</v>
      </c>
      <c r="L14" s="62"/>
      <c r="M14" s="62">
        <f>ROUNDUP((R5*E14)+(R6*J14)+(R7*(E14*2)),2)</f>
        <v>0</v>
      </c>
      <c r="N14" s="92">
        <f>M14</f>
        <v>0</v>
      </c>
      <c r="O14" s="80" t="s">
        <v>57</v>
      </c>
      <c r="P14" s="63" t="s">
        <v>139</v>
      </c>
      <c r="Q14" s="61"/>
      <c r="R14" s="64">
        <v>2</v>
      </c>
      <c r="S14" s="65">
        <f t="shared" si="0"/>
        <v>1.5</v>
      </c>
      <c r="T14" s="76">
        <f>ROUNDUP((R5*R14)+(R6*S14)+(R7*(R14*2)),2)</f>
        <v>0</v>
      </c>
    </row>
    <row r="15" spans="1:21" ht="18.75" customHeight="1" x14ac:dyDescent="0.15">
      <c r="A15" s="232"/>
      <c r="B15" s="80"/>
      <c r="C15" s="60"/>
      <c r="D15" s="61"/>
      <c r="E15" s="65"/>
      <c r="F15" s="62"/>
      <c r="G15" s="84"/>
      <c r="H15" s="88"/>
      <c r="I15" s="61"/>
      <c r="J15" s="62"/>
      <c r="K15" s="62"/>
      <c r="L15" s="62"/>
      <c r="M15" s="62"/>
      <c r="N15" s="92"/>
      <c r="O15" s="80" t="s">
        <v>24</v>
      </c>
      <c r="P15" s="63" t="s">
        <v>33</v>
      </c>
      <c r="Q15" s="61"/>
      <c r="R15" s="64">
        <v>0.5</v>
      </c>
      <c r="S15" s="65">
        <f t="shared" si="0"/>
        <v>0.38</v>
      </c>
      <c r="T15" s="76">
        <f>ROUNDUP((R5*R15)+(R6*S15)+(R7*(R15*2)),2)</f>
        <v>0</v>
      </c>
    </row>
    <row r="16" spans="1:21" ht="18.75" customHeight="1" x14ac:dyDescent="0.15">
      <c r="A16" s="232"/>
      <c r="B16" s="79"/>
      <c r="C16" s="54"/>
      <c r="D16" s="55"/>
      <c r="E16" s="56"/>
      <c r="F16" s="57"/>
      <c r="G16" s="83"/>
      <c r="H16" s="87"/>
      <c r="I16" s="55"/>
      <c r="J16" s="57"/>
      <c r="K16" s="57"/>
      <c r="L16" s="57"/>
      <c r="M16" s="57"/>
      <c r="N16" s="91"/>
      <c r="O16" s="79"/>
      <c r="P16" s="58"/>
      <c r="Q16" s="55"/>
      <c r="R16" s="59"/>
      <c r="S16" s="56"/>
      <c r="T16" s="75"/>
    </row>
    <row r="17" spans="1:20" ht="18.75" customHeight="1" x14ac:dyDescent="0.15">
      <c r="A17" s="232"/>
      <c r="B17" s="80" t="s">
        <v>219</v>
      </c>
      <c r="C17" s="60" t="s">
        <v>199</v>
      </c>
      <c r="D17" s="61"/>
      <c r="E17" s="65">
        <v>40</v>
      </c>
      <c r="F17" s="62" t="s">
        <v>27</v>
      </c>
      <c r="G17" s="84"/>
      <c r="H17" s="88" t="s">
        <v>199</v>
      </c>
      <c r="I17" s="61"/>
      <c r="J17" s="62">
        <f>ROUNDUP(E17*0.75,2)</f>
        <v>30</v>
      </c>
      <c r="K17" s="62" t="s">
        <v>27</v>
      </c>
      <c r="L17" s="62"/>
      <c r="M17" s="62">
        <f>ROUNDUP((R5*E17)+(R6*J17)+(R7*(E17*2)),2)</f>
        <v>0</v>
      </c>
      <c r="N17" s="92">
        <f>M17</f>
        <v>0</v>
      </c>
      <c r="O17" s="80" t="s">
        <v>220</v>
      </c>
      <c r="P17" s="63" t="s">
        <v>33</v>
      </c>
      <c r="Q17" s="61"/>
      <c r="R17" s="64">
        <v>0.3</v>
      </c>
      <c r="S17" s="65">
        <f>ROUNDUP(R17*0.75,2)</f>
        <v>0.23</v>
      </c>
      <c r="T17" s="76">
        <f>ROUNDUP((R5*R17)+(R6*S17)+(R7*(R17*2)),2)</f>
        <v>0</v>
      </c>
    </row>
    <row r="18" spans="1:20" ht="18.75" customHeight="1" x14ac:dyDescent="0.15">
      <c r="A18" s="232"/>
      <c r="B18" s="80"/>
      <c r="C18" s="60" t="s">
        <v>222</v>
      </c>
      <c r="D18" s="61"/>
      <c r="E18" s="65">
        <v>10</v>
      </c>
      <c r="F18" s="62" t="s">
        <v>27</v>
      </c>
      <c r="G18" s="84"/>
      <c r="H18" s="88" t="s">
        <v>222</v>
      </c>
      <c r="I18" s="61"/>
      <c r="J18" s="62">
        <f>ROUNDUP(E18*0.75,2)</f>
        <v>7.5</v>
      </c>
      <c r="K18" s="62" t="s">
        <v>27</v>
      </c>
      <c r="L18" s="62"/>
      <c r="M18" s="62">
        <f>ROUNDUP((R5*E18)+(R6*J18)+(R7*(E18*2)),2)</f>
        <v>0</v>
      </c>
      <c r="N18" s="92">
        <f>M18</f>
        <v>0</v>
      </c>
      <c r="O18" s="80" t="s">
        <v>221</v>
      </c>
      <c r="P18" s="63" t="s">
        <v>35</v>
      </c>
      <c r="Q18" s="61" t="s">
        <v>36</v>
      </c>
      <c r="R18" s="64">
        <v>0.3</v>
      </c>
      <c r="S18" s="65">
        <f>ROUNDUP(R18*0.75,2)</f>
        <v>0.23</v>
      </c>
      <c r="T18" s="76">
        <f>ROUNDUP((R5*R18)+(R6*S18)+(R7*(R18*2)),2)</f>
        <v>0</v>
      </c>
    </row>
    <row r="19" spans="1:20" ht="18.75" customHeight="1" x14ac:dyDescent="0.15">
      <c r="A19" s="232"/>
      <c r="B19" s="80"/>
      <c r="C19" s="60"/>
      <c r="D19" s="61"/>
      <c r="E19" s="65"/>
      <c r="F19" s="62"/>
      <c r="G19" s="84"/>
      <c r="H19" s="88"/>
      <c r="I19" s="61"/>
      <c r="J19" s="62"/>
      <c r="K19" s="62"/>
      <c r="L19" s="62"/>
      <c r="M19" s="62"/>
      <c r="N19" s="92"/>
      <c r="O19" s="80" t="s">
        <v>24</v>
      </c>
      <c r="P19" s="63" t="s">
        <v>40</v>
      </c>
      <c r="Q19" s="61" t="s">
        <v>41</v>
      </c>
      <c r="R19" s="64">
        <v>4</v>
      </c>
      <c r="S19" s="65">
        <f>ROUNDUP(R19*0.75,2)</f>
        <v>3</v>
      </c>
      <c r="T19" s="76">
        <f>ROUNDUP((R5*R19)+(R6*S19)+(R7*(R19*2)),2)</f>
        <v>0</v>
      </c>
    </row>
    <row r="20" spans="1:20" ht="18.75" customHeight="1" x14ac:dyDescent="0.15">
      <c r="A20" s="232"/>
      <c r="B20" s="79"/>
      <c r="C20" s="54"/>
      <c r="D20" s="55"/>
      <c r="E20" s="56"/>
      <c r="F20" s="57"/>
      <c r="G20" s="83"/>
      <c r="H20" s="87"/>
      <c r="I20" s="55"/>
      <c r="J20" s="57"/>
      <c r="K20" s="57"/>
      <c r="L20" s="57"/>
      <c r="M20" s="57"/>
      <c r="N20" s="91"/>
      <c r="O20" s="79"/>
      <c r="P20" s="58"/>
      <c r="Q20" s="55"/>
      <c r="R20" s="59"/>
      <c r="S20" s="56"/>
      <c r="T20" s="75"/>
    </row>
    <row r="21" spans="1:20" ht="18.75" customHeight="1" x14ac:dyDescent="0.15">
      <c r="A21" s="232"/>
      <c r="B21" s="80" t="s">
        <v>96</v>
      </c>
      <c r="C21" s="60" t="s">
        <v>38</v>
      </c>
      <c r="D21" s="61"/>
      <c r="E21" s="65">
        <v>20</v>
      </c>
      <c r="F21" s="62" t="s">
        <v>27</v>
      </c>
      <c r="G21" s="84"/>
      <c r="H21" s="88" t="s">
        <v>38</v>
      </c>
      <c r="I21" s="61"/>
      <c r="J21" s="62">
        <f>ROUNDUP(E21*0.75,2)</f>
        <v>15</v>
      </c>
      <c r="K21" s="62" t="s">
        <v>27</v>
      </c>
      <c r="L21" s="62"/>
      <c r="M21" s="62">
        <f>ROUNDUP((R5*E21)+(R6*J21)+(R7*(E21*2)),2)</f>
        <v>0</v>
      </c>
      <c r="N21" s="92">
        <f>ROUND(M21+(M21*10/100),2)</f>
        <v>0</v>
      </c>
      <c r="O21" s="80" t="s">
        <v>223</v>
      </c>
      <c r="P21" s="63" t="s">
        <v>92</v>
      </c>
      <c r="Q21" s="61" t="s">
        <v>52</v>
      </c>
      <c r="R21" s="64">
        <v>1.5</v>
      </c>
      <c r="S21" s="65">
        <f>ROUNDUP(R21*0.75,2)</f>
        <v>1.1300000000000001</v>
      </c>
      <c r="T21" s="76">
        <f>ROUNDUP((R5*R21)+(R6*S21)+(R7*(R21*2)),2)</f>
        <v>0</v>
      </c>
    </row>
    <row r="22" spans="1:20" ht="18.75" customHeight="1" x14ac:dyDescent="0.15">
      <c r="A22" s="232"/>
      <c r="B22" s="80"/>
      <c r="C22" s="60" t="s">
        <v>66</v>
      </c>
      <c r="D22" s="61"/>
      <c r="E22" s="65">
        <v>10</v>
      </c>
      <c r="F22" s="62" t="s">
        <v>27</v>
      </c>
      <c r="G22" s="84"/>
      <c r="H22" s="88" t="s">
        <v>66</v>
      </c>
      <c r="I22" s="61"/>
      <c r="J22" s="62">
        <f>ROUNDUP(E22*0.75,2)</f>
        <v>7.5</v>
      </c>
      <c r="K22" s="62" t="s">
        <v>27</v>
      </c>
      <c r="L22" s="62"/>
      <c r="M22" s="62">
        <f>ROUNDUP((R5*E22)+(R6*J22)+(R7*(E22*2)),2)</f>
        <v>0</v>
      </c>
      <c r="N22" s="92">
        <f>M22</f>
        <v>0</v>
      </c>
      <c r="O22" s="99" t="s">
        <v>296</v>
      </c>
      <c r="P22" s="63" t="s">
        <v>53</v>
      </c>
      <c r="Q22" s="61"/>
      <c r="R22" s="64">
        <v>60</v>
      </c>
      <c r="S22" s="65">
        <f>ROUNDUP(R22*0.75,2)</f>
        <v>45</v>
      </c>
      <c r="T22" s="76">
        <f>ROUNDUP((R5*R22)+(R6*S22)+(R7*(R22*2)),2)</f>
        <v>0</v>
      </c>
    </row>
    <row r="23" spans="1:20" ht="18.75" customHeight="1" x14ac:dyDescent="0.15">
      <c r="A23" s="232"/>
      <c r="B23" s="80"/>
      <c r="C23" s="60" t="s">
        <v>101</v>
      </c>
      <c r="D23" s="61"/>
      <c r="E23" s="65">
        <v>40</v>
      </c>
      <c r="F23" s="62" t="s">
        <v>56</v>
      </c>
      <c r="G23" s="84"/>
      <c r="H23" s="88" t="s">
        <v>101</v>
      </c>
      <c r="I23" s="61"/>
      <c r="J23" s="62">
        <f>ROUNDUP(E23*0.75,2)</f>
        <v>30</v>
      </c>
      <c r="K23" s="62" t="s">
        <v>56</v>
      </c>
      <c r="L23" s="62"/>
      <c r="M23" s="62">
        <f>ROUNDUP((R5*E23)+(R6*J23)+(R7*(E23*2)),2)</f>
        <v>0</v>
      </c>
      <c r="N23" s="92">
        <f>M23</f>
        <v>0</v>
      </c>
      <c r="O23" s="36" t="s">
        <v>271</v>
      </c>
      <c r="P23" s="63" t="s">
        <v>102</v>
      </c>
      <c r="Q23" s="61" t="s">
        <v>103</v>
      </c>
      <c r="R23" s="64">
        <v>0.5</v>
      </c>
      <c r="S23" s="65">
        <f>ROUNDUP(R23*0.75,2)</f>
        <v>0.38</v>
      </c>
      <c r="T23" s="76">
        <f>ROUNDUP((R5*R23)+(R6*S23)+(R7*(R23*2)),2)</f>
        <v>0</v>
      </c>
    </row>
    <row r="24" spans="1:20" ht="18.75" customHeight="1" x14ac:dyDescent="0.15">
      <c r="A24" s="232"/>
      <c r="B24" s="80"/>
      <c r="C24" s="60"/>
      <c r="D24" s="61"/>
      <c r="E24" s="65"/>
      <c r="F24" s="62"/>
      <c r="G24" s="84"/>
      <c r="H24" s="88"/>
      <c r="I24" s="61"/>
      <c r="J24" s="62"/>
      <c r="K24" s="62"/>
      <c r="L24" s="62"/>
      <c r="M24" s="62"/>
      <c r="N24" s="92"/>
      <c r="O24" s="80" t="s">
        <v>97</v>
      </c>
      <c r="P24" s="63" t="s">
        <v>42</v>
      </c>
      <c r="Q24" s="61"/>
      <c r="R24" s="64">
        <v>0.1</v>
      </c>
      <c r="S24" s="65">
        <f>ROUNDUP(R24*0.75,2)</f>
        <v>0.08</v>
      </c>
      <c r="T24" s="76">
        <f>ROUNDUP((R5*R24)+(R6*S24)+(R7*(R24*2)),2)</f>
        <v>0</v>
      </c>
    </row>
    <row r="25" spans="1:20" ht="18.75" customHeight="1" x14ac:dyDescent="0.15">
      <c r="A25" s="232"/>
      <c r="B25" s="80"/>
      <c r="C25" s="60"/>
      <c r="D25" s="61"/>
      <c r="E25" s="65"/>
      <c r="F25" s="62"/>
      <c r="G25" s="84"/>
      <c r="H25" s="88"/>
      <c r="I25" s="61"/>
      <c r="J25" s="62"/>
      <c r="K25" s="62"/>
      <c r="L25" s="62"/>
      <c r="M25" s="62"/>
      <c r="N25" s="92"/>
      <c r="O25" s="80" t="s">
        <v>98</v>
      </c>
      <c r="P25" s="63" t="s">
        <v>37</v>
      </c>
      <c r="Q25" s="61"/>
      <c r="R25" s="64">
        <v>1.5</v>
      </c>
      <c r="S25" s="65">
        <f>ROUNDUP(R25*0.75,2)</f>
        <v>1.1300000000000001</v>
      </c>
      <c r="T25" s="76">
        <f>ROUNDUP((R5*R25)+(R6*S25)+(R7*(R25*2)),2)</f>
        <v>0</v>
      </c>
    </row>
    <row r="26" spans="1:20" ht="18.75" customHeight="1" x14ac:dyDescent="0.15">
      <c r="A26" s="232"/>
      <c r="B26" s="80"/>
      <c r="C26" s="60"/>
      <c r="D26" s="61"/>
      <c r="E26" s="65"/>
      <c r="F26" s="62"/>
      <c r="G26" s="84"/>
      <c r="H26" s="88"/>
      <c r="I26" s="61"/>
      <c r="J26" s="62"/>
      <c r="K26" s="62"/>
      <c r="L26" s="62"/>
      <c r="M26" s="62"/>
      <c r="N26" s="92"/>
      <c r="O26" s="80" t="s">
        <v>24</v>
      </c>
      <c r="P26" s="63"/>
      <c r="Q26" s="61"/>
      <c r="R26" s="64"/>
      <c r="S26" s="65"/>
      <c r="T26" s="76"/>
    </row>
    <row r="27" spans="1:20" ht="18.75" customHeight="1" thickBot="1" x14ac:dyDescent="0.2">
      <c r="A27" s="233"/>
      <c r="B27" s="81"/>
      <c r="C27" s="67"/>
      <c r="D27" s="68"/>
      <c r="E27" s="69"/>
      <c r="F27" s="70"/>
      <c r="G27" s="85"/>
      <c r="H27" s="89"/>
      <c r="I27" s="68"/>
      <c r="J27" s="70"/>
      <c r="K27" s="70"/>
      <c r="L27" s="70"/>
      <c r="M27" s="70"/>
      <c r="N27" s="93"/>
      <c r="O27" s="81"/>
      <c r="P27" s="71"/>
      <c r="Q27" s="68"/>
      <c r="R27" s="72"/>
      <c r="S27" s="69"/>
      <c r="T27" s="77"/>
    </row>
  </sheetData>
  <mergeCells count="5">
    <mergeCell ref="H1:O1"/>
    <mergeCell ref="A2:T2"/>
    <mergeCell ref="Q3:T3"/>
    <mergeCell ref="A8:F8"/>
    <mergeCell ref="A10:A27"/>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9FC0-211C-493D-8361-3E20F15DB064}">
  <sheetPr>
    <pageSetUpPr fitToPage="1"/>
  </sheetPr>
  <dimension ref="A1:U54"/>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214</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408</v>
      </c>
      <c r="C13" s="120" t="s">
        <v>93</v>
      </c>
      <c r="D13" s="120"/>
      <c r="E13" s="61"/>
      <c r="F13" s="61"/>
      <c r="G13" s="120"/>
      <c r="H13" s="119">
        <v>10</v>
      </c>
      <c r="I13" s="120" t="s">
        <v>409</v>
      </c>
      <c r="J13" s="127" t="s">
        <v>156</v>
      </c>
      <c r="K13" s="119">
        <v>5</v>
      </c>
      <c r="L13" s="120" t="s">
        <v>410</v>
      </c>
      <c r="M13" s="120" t="s">
        <v>199</v>
      </c>
      <c r="N13" s="119">
        <v>10</v>
      </c>
      <c r="O13" s="118"/>
    </row>
    <row r="14" spans="1:21" ht="14.25" x14ac:dyDescent="0.15">
      <c r="A14" s="255"/>
      <c r="B14" s="120"/>
      <c r="C14" s="120" t="s">
        <v>30</v>
      </c>
      <c r="D14" s="120"/>
      <c r="E14" s="61"/>
      <c r="F14" s="61"/>
      <c r="G14" s="120"/>
      <c r="H14" s="119">
        <v>10</v>
      </c>
      <c r="I14" s="120"/>
      <c r="J14" s="120" t="s">
        <v>30</v>
      </c>
      <c r="K14" s="119">
        <v>10</v>
      </c>
      <c r="L14" s="120"/>
      <c r="M14" s="120" t="s">
        <v>30</v>
      </c>
      <c r="N14" s="119">
        <v>10</v>
      </c>
      <c r="O14" s="118"/>
    </row>
    <row r="15" spans="1:21" ht="14.25" x14ac:dyDescent="0.15">
      <c r="A15" s="255"/>
      <c r="B15" s="120"/>
      <c r="C15" s="120"/>
      <c r="D15" s="120"/>
      <c r="E15" s="61"/>
      <c r="F15" s="61"/>
      <c r="G15" s="120" t="s">
        <v>32</v>
      </c>
      <c r="H15" s="119" t="s">
        <v>439</v>
      </c>
      <c r="I15" s="120"/>
      <c r="J15" s="120"/>
      <c r="K15" s="119"/>
      <c r="L15" s="123"/>
      <c r="M15" s="123"/>
      <c r="N15" s="122"/>
      <c r="O15" s="126"/>
    </row>
    <row r="16" spans="1:21" ht="14.25" x14ac:dyDescent="0.15">
      <c r="A16" s="255"/>
      <c r="B16" s="120"/>
      <c r="C16" s="120"/>
      <c r="D16" s="120"/>
      <c r="E16" s="61"/>
      <c r="F16" s="61"/>
      <c r="G16" s="120" t="s">
        <v>33</v>
      </c>
      <c r="H16" s="119" t="s">
        <v>438</v>
      </c>
      <c r="I16" s="120"/>
      <c r="J16" s="120"/>
      <c r="K16" s="119"/>
      <c r="L16" s="120" t="s">
        <v>337</v>
      </c>
      <c r="M16" s="120" t="s">
        <v>38</v>
      </c>
      <c r="N16" s="119">
        <v>10</v>
      </c>
      <c r="O16" s="118"/>
    </row>
    <row r="17" spans="1:15" ht="14.25" x14ac:dyDescent="0.15">
      <c r="A17" s="255"/>
      <c r="B17" s="120"/>
      <c r="C17" s="120"/>
      <c r="D17" s="120"/>
      <c r="E17" s="61"/>
      <c r="F17" s="61" t="s">
        <v>36</v>
      </c>
      <c r="G17" s="120" t="s">
        <v>35</v>
      </c>
      <c r="H17" s="119" t="s">
        <v>438</v>
      </c>
      <c r="I17" s="120"/>
      <c r="J17" s="120"/>
      <c r="K17" s="119"/>
      <c r="L17" s="120"/>
      <c r="M17" s="120" t="s">
        <v>66</v>
      </c>
      <c r="N17" s="119">
        <v>5</v>
      </c>
      <c r="O17" s="118"/>
    </row>
    <row r="18" spans="1:15" ht="14.25" x14ac:dyDescent="0.15">
      <c r="A18" s="255"/>
      <c r="B18" s="123"/>
      <c r="C18" s="123"/>
      <c r="D18" s="123"/>
      <c r="E18" s="55"/>
      <c r="F18" s="55"/>
      <c r="G18" s="123"/>
      <c r="H18" s="122"/>
      <c r="I18" s="123"/>
      <c r="J18" s="123"/>
      <c r="K18" s="122"/>
      <c r="L18" s="120"/>
      <c r="M18" s="120" t="s">
        <v>101</v>
      </c>
      <c r="N18" s="119">
        <v>10</v>
      </c>
      <c r="O18" s="118"/>
    </row>
    <row r="19" spans="1:15" ht="14.25" x14ac:dyDescent="0.15">
      <c r="A19" s="255"/>
      <c r="B19" s="120" t="s">
        <v>414</v>
      </c>
      <c r="C19" s="120" t="s">
        <v>199</v>
      </c>
      <c r="D19" s="120"/>
      <c r="E19" s="61"/>
      <c r="F19" s="61"/>
      <c r="G19" s="120"/>
      <c r="H19" s="119">
        <v>15</v>
      </c>
      <c r="I19" s="120" t="s">
        <v>414</v>
      </c>
      <c r="J19" s="120" t="s">
        <v>199</v>
      </c>
      <c r="K19" s="119">
        <v>15</v>
      </c>
      <c r="L19" s="120"/>
      <c r="M19" s="120"/>
      <c r="N19" s="119"/>
      <c r="O19" s="118"/>
    </row>
    <row r="20" spans="1:15" ht="14.25" x14ac:dyDescent="0.15">
      <c r="A20" s="255"/>
      <c r="B20" s="120"/>
      <c r="C20" s="120" t="s">
        <v>222</v>
      </c>
      <c r="D20" s="120"/>
      <c r="E20" s="61"/>
      <c r="F20" s="61"/>
      <c r="G20" s="120"/>
      <c r="H20" s="119">
        <v>5</v>
      </c>
      <c r="I20" s="123"/>
      <c r="J20" s="123"/>
      <c r="K20" s="122"/>
      <c r="L20" s="120"/>
      <c r="M20" s="120"/>
      <c r="N20" s="119"/>
      <c r="O20" s="118"/>
    </row>
    <row r="21" spans="1:15" ht="14.25" x14ac:dyDescent="0.15">
      <c r="A21" s="255"/>
      <c r="B21" s="123"/>
      <c r="C21" s="123"/>
      <c r="D21" s="123"/>
      <c r="E21" s="55"/>
      <c r="F21" s="55"/>
      <c r="G21" s="123"/>
      <c r="H21" s="122"/>
      <c r="I21" s="120" t="s">
        <v>96</v>
      </c>
      <c r="J21" s="120" t="s">
        <v>38</v>
      </c>
      <c r="K21" s="119">
        <v>10</v>
      </c>
      <c r="L21" s="120"/>
      <c r="M21" s="120"/>
      <c r="N21" s="119"/>
      <c r="O21" s="118"/>
    </row>
    <row r="22" spans="1:15" ht="14.25" x14ac:dyDescent="0.15">
      <c r="A22" s="255"/>
      <c r="B22" s="120" t="s">
        <v>96</v>
      </c>
      <c r="C22" s="120" t="s">
        <v>38</v>
      </c>
      <c r="D22" s="120"/>
      <c r="E22" s="61"/>
      <c r="F22" s="61"/>
      <c r="G22" s="120"/>
      <c r="H22" s="119">
        <v>10</v>
      </c>
      <c r="I22" s="120"/>
      <c r="J22" s="120" t="s">
        <v>66</v>
      </c>
      <c r="K22" s="119">
        <v>5</v>
      </c>
      <c r="L22" s="120"/>
      <c r="M22" s="120"/>
      <c r="N22" s="119"/>
      <c r="O22" s="118"/>
    </row>
    <row r="23" spans="1:15" ht="14.25" x14ac:dyDescent="0.15">
      <c r="A23" s="255"/>
      <c r="B23" s="120"/>
      <c r="C23" s="120" t="s">
        <v>66</v>
      </c>
      <c r="D23" s="120"/>
      <c r="E23" s="61"/>
      <c r="F23" s="157"/>
      <c r="G23" s="120"/>
      <c r="H23" s="119">
        <v>5</v>
      </c>
      <c r="I23" s="120"/>
      <c r="J23" s="120" t="s">
        <v>101</v>
      </c>
      <c r="K23" s="119">
        <v>15</v>
      </c>
      <c r="L23" s="120"/>
      <c r="M23" s="120"/>
      <c r="N23" s="119"/>
      <c r="O23" s="118"/>
    </row>
    <row r="24" spans="1:15" ht="14.25" x14ac:dyDescent="0.15">
      <c r="A24" s="255"/>
      <c r="B24" s="120"/>
      <c r="C24" s="120" t="s">
        <v>101</v>
      </c>
      <c r="D24" s="120"/>
      <c r="E24" s="61"/>
      <c r="F24" s="61"/>
      <c r="G24" s="120"/>
      <c r="H24" s="119">
        <v>20</v>
      </c>
      <c r="I24" s="120"/>
      <c r="J24" s="120"/>
      <c r="K24" s="119"/>
      <c r="L24" s="120"/>
      <c r="M24" s="120"/>
      <c r="N24" s="119"/>
      <c r="O24" s="118"/>
    </row>
    <row r="25" spans="1:15" ht="14.25" x14ac:dyDescent="0.15">
      <c r="A25" s="255"/>
      <c r="B25" s="120"/>
      <c r="C25" s="120"/>
      <c r="D25" s="120"/>
      <c r="E25" s="61"/>
      <c r="F25" s="61"/>
      <c r="G25" s="120" t="s">
        <v>53</v>
      </c>
      <c r="H25" s="119" t="s">
        <v>439</v>
      </c>
      <c r="I25" s="120"/>
      <c r="J25" s="120"/>
      <c r="K25" s="119"/>
      <c r="L25" s="120"/>
      <c r="M25" s="120"/>
      <c r="N25" s="119"/>
      <c r="O25" s="118"/>
    </row>
    <row r="26" spans="1:15" ht="15" thickBot="1" x14ac:dyDescent="0.2">
      <c r="A26" s="256"/>
      <c r="B26" s="117"/>
      <c r="C26" s="117"/>
      <c r="D26" s="117"/>
      <c r="E26" s="68"/>
      <c r="F26" s="68"/>
      <c r="G26" s="117"/>
      <c r="H26" s="116"/>
      <c r="I26" s="117"/>
      <c r="J26" s="117"/>
      <c r="K26" s="116"/>
      <c r="L26" s="117"/>
      <c r="M26" s="117"/>
      <c r="N26" s="116"/>
      <c r="O26" s="115"/>
    </row>
    <row r="27" spans="1:15" ht="14.25" x14ac:dyDescent="0.15">
      <c r="B27" s="114"/>
      <c r="C27" s="114"/>
      <c r="D27" s="114"/>
      <c r="G27" s="114"/>
      <c r="H27" s="113"/>
      <c r="I27" s="114"/>
      <c r="J27" s="114"/>
      <c r="K27" s="113"/>
      <c r="L27" s="114"/>
      <c r="M27" s="114"/>
      <c r="N27" s="113"/>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sheetData>
  <mergeCells count="15">
    <mergeCell ref="L8:N8"/>
    <mergeCell ref="O8:O10"/>
    <mergeCell ref="I9:K9"/>
    <mergeCell ref="L9:N9"/>
    <mergeCell ref="A11:A26"/>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31"/>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225</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226</v>
      </c>
      <c r="C10" s="48" t="s">
        <v>85</v>
      </c>
      <c r="D10" s="49"/>
      <c r="E10" s="50">
        <v>10</v>
      </c>
      <c r="F10" s="51" t="s">
        <v>27</v>
      </c>
      <c r="G10" s="82"/>
      <c r="H10" s="86" t="s">
        <v>85</v>
      </c>
      <c r="I10" s="49"/>
      <c r="J10" s="51">
        <f>ROUNDUP(E10*0.75,2)</f>
        <v>7.5</v>
      </c>
      <c r="K10" s="51" t="s">
        <v>27</v>
      </c>
      <c r="L10" s="51"/>
      <c r="M10" s="51">
        <f>ROUNDUP((R5*E10)+(R6*J10)+(R7*(E10*2)),2)</f>
        <v>0</v>
      </c>
      <c r="N10" s="90">
        <f>M10</f>
        <v>0</v>
      </c>
      <c r="O10" s="101" t="s">
        <v>304</v>
      </c>
      <c r="P10" s="52" t="s">
        <v>23</v>
      </c>
      <c r="Q10" s="49"/>
      <c r="R10" s="53">
        <v>110</v>
      </c>
      <c r="S10" s="50">
        <f>ROUNDUP(R10*0.75,2)</f>
        <v>82.5</v>
      </c>
      <c r="T10" s="74">
        <f>ROUNDUP((R5*R10)+(R6*S10)+(R7*(R10*2)),2)</f>
        <v>0</v>
      </c>
    </row>
    <row r="11" spans="1:21" ht="18.75" customHeight="1" x14ac:dyDescent="0.15">
      <c r="A11" s="232"/>
      <c r="B11" s="80"/>
      <c r="C11" s="60" t="s">
        <v>100</v>
      </c>
      <c r="D11" s="61"/>
      <c r="E11" s="65">
        <v>10</v>
      </c>
      <c r="F11" s="62" t="s">
        <v>27</v>
      </c>
      <c r="G11" s="84"/>
      <c r="H11" s="88" t="s">
        <v>100</v>
      </c>
      <c r="I11" s="61"/>
      <c r="J11" s="62">
        <f>ROUNDUP(E11*0.75,2)</f>
        <v>7.5</v>
      </c>
      <c r="K11" s="62" t="s">
        <v>27</v>
      </c>
      <c r="L11" s="62"/>
      <c r="M11" s="62">
        <f>ROUNDUP((R5*E11)+(R6*J11)+(R7*(E11*2)),2)</f>
        <v>0</v>
      </c>
      <c r="N11" s="92">
        <f>M11</f>
        <v>0</v>
      </c>
      <c r="O11" s="36" t="s">
        <v>283</v>
      </c>
      <c r="P11" s="63" t="s">
        <v>92</v>
      </c>
      <c r="Q11" s="61" t="s">
        <v>52</v>
      </c>
      <c r="R11" s="64">
        <v>1</v>
      </c>
      <c r="S11" s="65">
        <f>ROUNDUP(R11*0.75,2)</f>
        <v>0.75</v>
      </c>
      <c r="T11" s="76">
        <f>ROUNDUP((R5*R11)+(R6*S11)+(R7*(R11*2)),2)</f>
        <v>0</v>
      </c>
    </row>
    <row r="12" spans="1:21" ht="18.75" customHeight="1" x14ac:dyDescent="0.15">
      <c r="A12" s="232"/>
      <c r="B12" s="80"/>
      <c r="C12" s="60"/>
      <c r="D12" s="61"/>
      <c r="E12" s="65"/>
      <c r="F12" s="62"/>
      <c r="G12" s="84"/>
      <c r="H12" s="88"/>
      <c r="I12" s="61"/>
      <c r="J12" s="62"/>
      <c r="K12" s="62"/>
      <c r="L12" s="62"/>
      <c r="M12" s="62"/>
      <c r="N12" s="92"/>
      <c r="O12" s="80" t="s">
        <v>24</v>
      </c>
      <c r="P12" s="63" t="s">
        <v>102</v>
      </c>
      <c r="Q12" s="61" t="s">
        <v>103</v>
      </c>
      <c r="R12" s="64">
        <v>0.5</v>
      </c>
      <c r="S12" s="65">
        <f>ROUNDUP(R12*0.75,2)</f>
        <v>0.38</v>
      </c>
      <c r="T12" s="76">
        <f>ROUNDUP((R5*R12)+(R6*S12)+(R7*(R12*2)),2)</f>
        <v>0</v>
      </c>
    </row>
    <row r="13" spans="1:21" ht="18.75" customHeight="1" x14ac:dyDescent="0.15">
      <c r="A13" s="232"/>
      <c r="B13" s="79"/>
      <c r="C13" s="54"/>
      <c r="D13" s="55"/>
      <c r="E13" s="56"/>
      <c r="F13" s="57"/>
      <c r="G13" s="83"/>
      <c r="H13" s="87"/>
      <c r="I13" s="55"/>
      <c r="J13" s="57"/>
      <c r="K13" s="57"/>
      <c r="L13" s="57"/>
      <c r="M13" s="57"/>
      <c r="N13" s="91"/>
      <c r="O13" s="79"/>
      <c r="P13" s="58"/>
      <c r="Q13" s="55"/>
      <c r="R13" s="59"/>
      <c r="S13" s="56"/>
      <c r="T13" s="75"/>
    </row>
    <row r="14" spans="1:21" ht="18.75" customHeight="1" x14ac:dyDescent="0.15">
      <c r="A14" s="232"/>
      <c r="B14" s="80" t="s">
        <v>227</v>
      </c>
      <c r="C14" s="60" t="s">
        <v>212</v>
      </c>
      <c r="D14" s="61"/>
      <c r="E14" s="65">
        <v>50</v>
      </c>
      <c r="F14" s="62" t="s">
        <v>27</v>
      </c>
      <c r="G14" s="84" t="s">
        <v>127</v>
      </c>
      <c r="H14" s="88" t="s">
        <v>212</v>
      </c>
      <c r="I14" s="61"/>
      <c r="J14" s="62">
        <f>ROUNDUP(E14*0.75,2)</f>
        <v>37.5</v>
      </c>
      <c r="K14" s="62" t="s">
        <v>27</v>
      </c>
      <c r="L14" s="62" t="s">
        <v>127</v>
      </c>
      <c r="M14" s="62">
        <f>ROUNDUP((R5*E14)+(R6*J14)+(R7*(E14*2)),2)</f>
        <v>0</v>
      </c>
      <c r="N14" s="92">
        <f>M14</f>
        <v>0</v>
      </c>
      <c r="O14" s="80" t="s">
        <v>228</v>
      </c>
      <c r="P14" s="63" t="s">
        <v>64</v>
      </c>
      <c r="Q14" s="61"/>
      <c r="R14" s="64">
        <v>1</v>
      </c>
      <c r="S14" s="65">
        <f t="shared" ref="S14:S24" si="0">ROUNDUP(R14*0.75,2)</f>
        <v>0.75</v>
      </c>
      <c r="T14" s="76">
        <f>ROUNDUP((R5*R14)+(R6*S14)+(R7*(R14*2)),2)</f>
        <v>0</v>
      </c>
    </row>
    <row r="15" spans="1:21" ht="18.75" customHeight="1" x14ac:dyDescent="0.15">
      <c r="A15" s="232"/>
      <c r="B15" s="80"/>
      <c r="C15" s="60" t="s">
        <v>30</v>
      </c>
      <c r="D15" s="61"/>
      <c r="E15" s="65">
        <v>20</v>
      </c>
      <c r="F15" s="62" t="s">
        <v>27</v>
      </c>
      <c r="G15" s="84"/>
      <c r="H15" s="88" t="s">
        <v>30</v>
      </c>
      <c r="I15" s="61"/>
      <c r="J15" s="62">
        <f>ROUNDUP(E15*0.75,2)</f>
        <v>15</v>
      </c>
      <c r="K15" s="62" t="s">
        <v>27</v>
      </c>
      <c r="L15" s="62"/>
      <c r="M15" s="62">
        <f>ROUNDUP((R5*E15)+(R6*J15)+(R7*(E15*2)),2)</f>
        <v>0</v>
      </c>
      <c r="N15" s="92">
        <f>ROUND(M15+(M15*6/100),2)</f>
        <v>0</v>
      </c>
      <c r="O15" s="80" t="s">
        <v>305</v>
      </c>
      <c r="P15" s="63" t="s">
        <v>42</v>
      </c>
      <c r="Q15" s="61"/>
      <c r="R15" s="64">
        <v>0.05</v>
      </c>
      <c r="S15" s="65">
        <f t="shared" si="0"/>
        <v>0.04</v>
      </c>
      <c r="T15" s="76">
        <f>ROUNDUP((R5*R15)+(R6*S15)+(R7*(R15*2)),2)</f>
        <v>0</v>
      </c>
    </row>
    <row r="16" spans="1:21" ht="18.75" customHeight="1" x14ac:dyDescent="0.15">
      <c r="A16" s="232"/>
      <c r="B16" s="80"/>
      <c r="C16" s="60" t="s">
        <v>95</v>
      </c>
      <c r="D16" s="61"/>
      <c r="E16" s="65">
        <v>20</v>
      </c>
      <c r="F16" s="62" t="s">
        <v>27</v>
      </c>
      <c r="G16" s="84"/>
      <c r="H16" s="88" t="s">
        <v>95</v>
      </c>
      <c r="I16" s="61"/>
      <c r="J16" s="62">
        <f>ROUNDUP(E16*0.75,2)</f>
        <v>15</v>
      </c>
      <c r="K16" s="62" t="s">
        <v>27</v>
      </c>
      <c r="L16" s="62"/>
      <c r="M16" s="62">
        <f>ROUNDUP((R5*E16)+(R6*J16)+(R7*(E16*2)),2)</f>
        <v>0</v>
      </c>
      <c r="N16" s="92">
        <f>M16</f>
        <v>0</v>
      </c>
      <c r="O16" s="99" t="s">
        <v>306</v>
      </c>
      <c r="P16" s="63" t="s">
        <v>67</v>
      </c>
      <c r="Q16" s="61"/>
      <c r="R16" s="64">
        <v>0.01</v>
      </c>
      <c r="S16" s="65">
        <f t="shared" si="0"/>
        <v>0.01</v>
      </c>
      <c r="T16" s="76">
        <f>ROUNDUP((R5*R16)+(R6*S16)+(R7*(R16*2)),2)</f>
        <v>0</v>
      </c>
    </row>
    <row r="17" spans="1:20" ht="18.75" customHeight="1" x14ac:dyDescent="0.15">
      <c r="A17" s="232"/>
      <c r="B17" s="80"/>
      <c r="C17" s="60" t="s">
        <v>200</v>
      </c>
      <c r="D17" s="61"/>
      <c r="E17" s="65">
        <v>10</v>
      </c>
      <c r="F17" s="62" t="s">
        <v>27</v>
      </c>
      <c r="G17" s="84"/>
      <c r="H17" s="88" t="s">
        <v>200</v>
      </c>
      <c r="I17" s="61"/>
      <c r="J17" s="62">
        <f>ROUNDUP(E17*0.75,2)</f>
        <v>7.5</v>
      </c>
      <c r="K17" s="62" t="s">
        <v>27</v>
      </c>
      <c r="L17" s="62"/>
      <c r="M17" s="62">
        <f>ROUNDUP((R5*E17)+(R6*J17)+(R7*(E17*2)),2)</f>
        <v>0</v>
      </c>
      <c r="N17" s="92">
        <f>M17</f>
        <v>0</v>
      </c>
      <c r="O17" s="36" t="s">
        <v>284</v>
      </c>
      <c r="P17" s="63" t="s">
        <v>122</v>
      </c>
      <c r="Q17" s="61" t="s">
        <v>36</v>
      </c>
      <c r="R17" s="64">
        <v>4</v>
      </c>
      <c r="S17" s="65">
        <f t="shared" si="0"/>
        <v>3</v>
      </c>
      <c r="T17" s="76">
        <f>ROUNDUP((R5*R17)+(R6*S17)+(R7*(R17*2)),2)</f>
        <v>0</v>
      </c>
    </row>
    <row r="18" spans="1:20" ht="18.75" customHeight="1" x14ac:dyDescent="0.15">
      <c r="A18" s="232"/>
      <c r="B18" s="80"/>
      <c r="C18" s="60" t="s">
        <v>157</v>
      </c>
      <c r="D18" s="61"/>
      <c r="E18" s="65">
        <v>10</v>
      </c>
      <c r="F18" s="62" t="s">
        <v>27</v>
      </c>
      <c r="G18" s="84" t="s">
        <v>127</v>
      </c>
      <c r="H18" s="88" t="s">
        <v>157</v>
      </c>
      <c r="I18" s="61"/>
      <c r="J18" s="62">
        <f>ROUNDUP(E18*0.75,2)</f>
        <v>7.5</v>
      </c>
      <c r="K18" s="62" t="s">
        <v>27</v>
      </c>
      <c r="L18" s="62" t="s">
        <v>127</v>
      </c>
      <c r="M18" s="62">
        <f>ROUNDUP((R5*E18)+(R6*J18)+(R7*(E18*2)),2)</f>
        <v>0</v>
      </c>
      <c r="N18" s="92">
        <f>M18</f>
        <v>0</v>
      </c>
      <c r="O18" s="80" t="s">
        <v>307</v>
      </c>
      <c r="P18" s="63" t="s">
        <v>122</v>
      </c>
      <c r="Q18" s="61" t="s">
        <v>36</v>
      </c>
      <c r="R18" s="64">
        <v>4</v>
      </c>
      <c r="S18" s="65">
        <f t="shared" si="0"/>
        <v>3</v>
      </c>
      <c r="T18" s="76">
        <f>ROUNDUP((R5*R18)+(R6*S18)+(R7*(R18*2)),2)</f>
        <v>0</v>
      </c>
    </row>
    <row r="19" spans="1:20" ht="18.75" customHeight="1" x14ac:dyDescent="0.15">
      <c r="A19" s="232"/>
      <c r="B19" s="80"/>
      <c r="C19" s="60"/>
      <c r="D19" s="61"/>
      <c r="E19" s="65"/>
      <c r="F19" s="62"/>
      <c r="G19" s="84"/>
      <c r="H19" s="88"/>
      <c r="I19" s="61"/>
      <c r="J19" s="62"/>
      <c r="K19" s="62"/>
      <c r="L19" s="62"/>
      <c r="M19" s="62"/>
      <c r="N19" s="92"/>
      <c r="O19" s="80" t="s">
        <v>44</v>
      </c>
      <c r="P19" s="63" t="s">
        <v>53</v>
      </c>
      <c r="Q19" s="61"/>
      <c r="R19" s="64">
        <v>8</v>
      </c>
      <c r="S19" s="65">
        <f t="shared" si="0"/>
        <v>6</v>
      </c>
      <c r="T19" s="76">
        <f>ROUNDUP((R5*R19)+(R6*S19)+(R7*(R19*2)),2)</f>
        <v>0</v>
      </c>
    </row>
    <row r="20" spans="1:20" ht="18.75" customHeight="1" x14ac:dyDescent="0.15">
      <c r="A20" s="232"/>
      <c r="B20" s="80"/>
      <c r="C20" s="60"/>
      <c r="D20" s="61"/>
      <c r="E20" s="65"/>
      <c r="F20" s="62"/>
      <c r="G20" s="84"/>
      <c r="H20" s="88"/>
      <c r="I20" s="61"/>
      <c r="J20" s="62"/>
      <c r="K20" s="62"/>
      <c r="L20" s="62"/>
      <c r="M20" s="62"/>
      <c r="N20" s="92"/>
      <c r="O20" s="80"/>
      <c r="P20" s="63" t="s">
        <v>229</v>
      </c>
      <c r="Q20" s="61" t="s">
        <v>36</v>
      </c>
      <c r="R20" s="64">
        <v>6</v>
      </c>
      <c r="S20" s="65">
        <f t="shared" si="0"/>
        <v>4.5</v>
      </c>
      <c r="T20" s="76">
        <f>ROUNDUP((R5*R20)+(R6*S20)+(R7*(R20*2)),2)</f>
        <v>0</v>
      </c>
    </row>
    <row r="21" spans="1:20" ht="18.75" customHeight="1" x14ac:dyDescent="0.15">
      <c r="A21" s="232"/>
      <c r="B21" s="80"/>
      <c r="C21" s="60"/>
      <c r="D21" s="61"/>
      <c r="E21" s="65"/>
      <c r="F21" s="62"/>
      <c r="G21" s="84"/>
      <c r="H21" s="88"/>
      <c r="I21" s="61"/>
      <c r="J21" s="62"/>
      <c r="K21" s="62"/>
      <c r="L21" s="62"/>
      <c r="M21" s="62"/>
      <c r="N21" s="92"/>
      <c r="O21" s="80"/>
      <c r="P21" s="63" t="s">
        <v>64</v>
      </c>
      <c r="Q21" s="61"/>
      <c r="R21" s="64">
        <v>6</v>
      </c>
      <c r="S21" s="65">
        <f t="shared" si="0"/>
        <v>4.5</v>
      </c>
      <c r="T21" s="76">
        <f>ROUNDUP((R5*R21)+(R6*S21)+(R7*(R21*2)),2)</f>
        <v>0</v>
      </c>
    </row>
    <row r="22" spans="1:20" ht="18.75" customHeight="1" x14ac:dyDescent="0.15">
      <c r="A22" s="232"/>
      <c r="B22" s="80"/>
      <c r="C22" s="60"/>
      <c r="D22" s="61"/>
      <c r="E22" s="65"/>
      <c r="F22" s="62"/>
      <c r="G22" s="84"/>
      <c r="H22" s="88"/>
      <c r="I22" s="61"/>
      <c r="J22" s="62"/>
      <c r="K22" s="62"/>
      <c r="L22" s="62"/>
      <c r="M22" s="62"/>
      <c r="N22" s="92"/>
      <c r="O22" s="80"/>
      <c r="P22" s="63" t="s">
        <v>139</v>
      </c>
      <c r="Q22" s="61"/>
      <c r="R22" s="64">
        <v>3</v>
      </c>
      <c r="S22" s="65">
        <f t="shared" si="0"/>
        <v>2.25</v>
      </c>
      <c r="T22" s="76">
        <f>ROUNDUP((R5*R22)+(R6*S22)+(R7*(R22*2)),2)</f>
        <v>0</v>
      </c>
    </row>
    <row r="23" spans="1:20" ht="18.75" customHeight="1" x14ac:dyDescent="0.15">
      <c r="A23" s="232"/>
      <c r="B23" s="80"/>
      <c r="C23" s="60"/>
      <c r="D23" s="61"/>
      <c r="E23" s="65"/>
      <c r="F23" s="62"/>
      <c r="G23" s="84"/>
      <c r="H23" s="88"/>
      <c r="I23" s="61"/>
      <c r="J23" s="62"/>
      <c r="K23" s="62"/>
      <c r="L23" s="62"/>
      <c r="M23" s="62"/>
      <c r="N23" s="92"/>
      <c r="O23" s="80"/>
      <c r="P23" s="63" t="s">
        <v>53</v>
      </c>
      <c r="Q23" s="61"/>
      <c r="R23" s="64">
        <v>10</v>
      </c>
      <c r="S23" s="65">
        <f t="shared" si="0"/>
        <v>7.5</v>
      </c>
      <c r="T23" s="76">
        <f>ROUNDUP((R5*R23)+(R6*S23)+(R7*(R23*2)),2)</f>
        <v>0</v>
      </c>
    </row>
    <row r="24" spans="1:20" ht="18.75" customHeight="1" x14ac:dyDescent="0.15">
      <c r="A24" s="232"/>
      <c r="B24" s="80"/>
      <c r="C24" s="60"/>
      <c r="D24" s="61"/>
      <c r="E24" s="65"/>
      <c r="F24" s="62"/>
      <c r="G24" s="84"/>
      <c r="H24" s="88"/>
      <c r="I24" s="61"/>
      <c r="J24" s="62"/>
      <c r="K24" s="62"/>
      <c r="L24" s="62"/>
      <c r="M24" s="62"/>
      <c r="N24" s="92"/>
      <c r="O24" s="80"/>
      <c r="P24" s="63" t="s">
        <v>33</v>
      </c>
      <c r="Q24" s="61"/>
      <c r="R24" s="64">
        <v>0.5</v>
      </c>
      <c r="S24" s="65">
        <f t="shared" si="0"/>
        <v>0.38</v>
      </c>
      <c r="T24" s="76">
        <f>ROUNDUP((R5*R24)+(R6*S24)+(R7*(R24*2)),2)</f>
        <v>0</v>
      </c>
    </row>
    <row r="25" spans="1:20" ht="18.75" customHeight="1" x14ac:dyDescent="0.15">
      <c r="A25" s="232"/>
      <c r="B25" s="79"/>
      <c r="C25" s="54"/>
      <c r="D25" s="55"/>
      <c r="E25" s="56"/>
      <c r="F25" s="57"/>
      <c r="G25" s="83"/>
      <c r="H25" s="87"/>
      <c r="I25" s="55"/>
      <c r="J25" s="57"/>
      <c r="K25" s="57"/>
      <c r="L25" s="57"/>
      <c r="M25" s="57"/>
      <c r="N25" s="91"/>
      <c r="O25" s="79"/>
      <c r="P25" s="58"/>
      <c r="Q25" s="55"/>
      <c r="R25" s="59"/>
      <c r="S25" s="56"/>
      <c r="T25" s="75"/>
    </row>
    <row r="26" spans="1:20" ht="18.75" customHeight="1" x14ac:dyDescent="0.15">
      <c r="A26" s="232"/>
      <c r="B26" s="80" t="s">
        <v>164</v>
      </c>
      <c r="C26" s="60" t="s">
        <v>230</v>
      </c>
      <c r="D26" s="61"/>
      <c r="E26" s="65">
        <v>20</v>
      </c>
      <c r="F26" s="62" t="s">
        <v>27</v>
      </c>
      <c r="G26" s="84"/>
      <c r="H26" s="88" t="s">
        <v>230</v>
      </c>
      <c r="I26" s="61"/>
      <c r="J26" s="62">
        <f>ROUNDUP(E26*0.75,2)</f>
        <v>15</v>
      </c>
      <c r="K26" s="62" t="s">
        <v>27</v>
      </c>
      <c r="L26" s="62"/>
      <c r="M26" s="62">
        <f>ROUNDUP((R5*E26)+(R6*J26)+(R7*(E26*2)),2)</f>
        <v>0</v>
      </c>
      <c r="N26" s="92">
        <f>M26</f>
        <v>0</v>
      </c>
      <c r="O26" s="80" t="s">
        <v>24</v>
      </c>
      <c r="P26" s="63" t="s">
        <v>53</v>
      </c>
      <c r="Q26" s="61"/>
      <c r="R26" s="64">
        <v>100</v>
      </c>
      <c r="S26" s="65">
        <f>ROUNDUP(R26*0.75,2)</f>
        <v>75</v>
      </c>
      <c r="T26" s="76">
        <f>ROUNDUP((R5*R26)+(R6*S26)+(R7*(R26*2)),2)</f>
        <v>0</v>
      </c>
    </row>
    <row r="27" spans="1:20" ht="18.75" customHeight="1" x14ac:dyDescent="0.15">
      <c r="A27" s="232"/>
      <c r="B27" s="80"/>
      <c r="C27" s="60" t="s">
        <v>184</v>
      </c>
      <c r="D27" s="61"/>
      <c r="E27" s="65">
        <v>3</v>
      </c>
      <c r="F27" s="62" t="s">
        <v>27</v>
      </c>
      <c r="G27" s="84"/>
      <c r="H27" s="88" t="s">
        <v>184</v>
      </c>
      <c r="I27" s="61"/>
      <c r="J27" s="62">
        <f>ROUNDUP(E27*0.75,2)</f>
        <v>2.25</v>
      </c>
      <c r="K27" s="62" t="s">
        <v>27</v>
      </c>
      <c r="L27" s="62"/>
      <c r="M27" s="62">
        <f>ROUNDUP((R5*E27)+(R6*J27)+(R7*(E27*2)),2)</f>
        <v>0</v>
      </c>
      <c r="N27" s="92">
        <f>M27</f>
        <v>0</v>
      </c>
      <c r="O27" s="80"/>
      <c r="P27" s="63" t="s">
        <v>102</v>
      </c>
      <c r="Q27" s="61" t="s">
        <v>103</v>
      </c>
      <c r="R27" s="64">
        <v>0.5</v>
      </c>
      <c r="S27" s="65">
        <f>ROUNDUP(R27*0.75,2)</f>
        <v>0.38</v>
      </c>
      <c r="T27" s="76">
        <f>ROUNDUP((R5*R27)+(R6*S27)+(R7*(R27*2)),2)</f>
        <v>0</v>
      </c>
    </row>
    <row r="28" spans="1:20" ht="18.75" customHeight="1" x14ac:dyDescent="0.15">
      <c r="A28" s="232"/>
      <c r="B28" s="80"/>
      <c r="C28" s="60"/>
      <c r="D28" s="61"/>
      <c r="E28" s="65"/>
      <c r="F28" s="62"/>
      <c r="G28" s="84"/>
      <c r="H28" s="88"/>
      <c r="I28" s="61"/>
      <c r="J28" s="62"/>
      <c r="K28" s="62"/>
      <c r="L28" s="62"/>
      <c r="M28" s="62"/>
      <c r="N28" s="92"/>
      <c r="O28" s="80"/>
      <c r="P28" s="63" t="s">
        <v>42</v>
      </c>
      <c r="Q28" s="61"/>
      <c r="R28" s="64">
        <v>0.1</v>
      </c>
      <c r="S28" s="65">
        <f>ROUNDUP(R28*0.75,2)</f>
        <v>0.08</v>
      </c>
      <c r="T28" s="76">
        <f>ROUNDUP((R5*R28)+(R6*S28)+(R7*(R28*2)),2)</f>
        <v>0</v>
      </c>
    </row>
    <row r="29" spans="1:20" ht="18.75" customHeight="1" x14ac:dyDescent="0.15">
      <c r="A29" s="232"/>
      <c r="B29" s="79"/>
      <c r="C29" s="54"/>
      <c r="D29" s="55"/>
      <c r="E29" s="56"/>
      <c r="F29" s="57"/>
      <c r="G29" s="83"/>
      <c r="H29" s="87"/>
      <c r="I29" s="55"/>
      <c r="J29" s="57"/>
      <c r="K29" s="57"/>
      <c r="L29" s="57"/>
      <c r="M29" s="57"/>
      <c r="N29" s="91"/>
      <c r="O29" s="79"/>
      <c r="P29" s="58"/>
      <c r="Q29" s="55"/>
      <c r="R29" s="59"/>
      <c r="S29" s="56"/>
      <c r="T29" s="75"/>
    </row>
    <row r="30" spans="1:20" ht="18.75" customHeight="1" x14ac:dyDescent="0.15">
      <c r="A30" s="232"/>
      <c r="B30" s="80" t="s">
        <v>125</v>
      </c>
      <c r="C30" s="60" t="s">
        <v>126</v>
      </c>
      <c r="D30" s="61"/>
      <c r="E30" s="65">
        <v>30</v>
      </c>
      <c r="F30" s="62" t="s">
        <v>27</v>
      </c>
      <c r="G30" s="84" t="s">
        <v>127</v>
      </c>
      <c r="H30" s="88" t="s">
        <v>126</v>
      </c>
      <c r="I30" s="61"/>
      <c r="J30" s="62">
        <f>ROUNDUP(E30*0.75,2)</f>
        <v>22.5</v>
      </c>
      <c r="K30" s="62" t="s">
        <v>27</v>
      </c>
      <c r="L30" s="62" t="s">
        <v>127</v>
      </c>
      <c r="M30" s="62">
        <f>ROUNDUP((R5*E30)+(R6*J30)+(R7*(E30*2)),2)</f>
        <v>0</v>
      </c>
      <c r="N30" s="92">
        <f>M30</f>
        <v>0</v>
      </c>
      <c r="O30" s="80"/>
      <c r="P30" s="63"/>
      <c r="Q30" s="61"/>
      <c r="R30" s="64"/>
      <c r="S30" s="65"/>
      <c r="T30" s="76"/>
    </row>
    <row r="31" spans="1:20" ht="18.75" customHeight="1" thickBot="1" x14ac:dyDescent="0.2">
      <c r="A31" s="233"/>
      <c r="B31" s="81"/>
      <c r="C31" s="67"/>
      <c r="D31" s="68"/>
      <c r="E31" s="69"/>
      <c r="F31" s="70"/>
      <c r="G31" s="85"/>
      <c r="H31" s="89"/>
      <c r="I31" s="68"/>
      <c r="J31" s="70"/>
      <c r="K31" s="70"/>
      <c r="L31" s="70"/>
      <c r="M31" s="70"/>
      <c r="N31" s="93"/>
      <c r="O31" s="81"/>
      <c r="P31" s="71"/>
      <c r="Q31" s="68"/>
      <c r="R31" s="72"/>
      <c r="S31" s="69"/>
      <c r="T31" s="77"/>
    </row>
  </sheetData>
  <mergeCells count="5">
    <mergeCell ref="H1:O1"/>
    <mergeCell ref="A2:T2"/>
    <mergeCell ref="Q3:T3"/>
    <mergeCell ref="A8:F8"/>
    <mergeCell ref="A10:A31"/>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51415-3B30-4E79-A48C-10F277B413D6}">
  <sheetPr>
    <pageSetUpPr fitToPage="1"/>
  </sheetPr>
  <dimension ref="A1:U55"/>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225</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416</v>
      </c>
      <c r="C11" s="132" t="s">
        <v>441</v>
      </c>
      <c r="D11" s="132"/>
      <c r="E11" s="49"/>
      <c r="F11" s="49"/>
      <c r="G11" s="132"/>
      <c r="H11" s="131" t="s">
        <v>443</v>
      </c>
      <c r="I11" s="132" t="s">
        <v>416</v>
      </c>
      <c r="J11" s="132" t="s">
        <v>441</v>
      </c>
      <c r="K11" s="131" t="s">
        <v>442</v>
      </c>
      <c r="L11" s="132" t="s">
        <v>418</v>
      </c>
      <c r="M11" s="132" t="s">
        <v>441</v>
      </c>
      <c r="N11" s="131">
        <v>30</v>
      </c>
      <c r="O11" s="130"/>
    </row>
    <row r="12" spans="1:21" ht="14.25" x14ac:dyDescent="0.15">
      <c r="A12" s="255"/>
      <c r="B12" s="120"/>
      <c r="C12" s="120" t="s">
        <v>100</v>
      </c>
      <c r="D12" s="120"/>
      <c r="E12" s="61"/>
      <c r="F12" s="61"/>
      <c r="G12" s="120"/>
      <c r="H12" s="119">
        <v>5</v>
      </c>
      <c r="I12" s="120"/>
      <c r="J12" s="120" t="s">
        <v>100</v>
      </c>
      <c r="K12" s="119">
        <v>5</v>
      </c>
      <c r="L12" s="120"/>
      <c r="M12" s="120" t="s">
        <v>100</v>
      </c>
      <c r="N12" s="119">
        <v>5</v>
      </c>
      <c r="O12" s="118"/>
    </row>
    <row r="13" spans="1:21" ht="14.25" x14ac:dyDescent="0.15">
      <c r="A13" s="255"/>
      <c r="B13" s="120"/>
      <c r="C13" s="120" t="s">
        <v>85</v>
      </c>
      <c r="D13" s="120"/>
      <c r="E13" s="61"/>
      <c r="F13" s="61"/>
      <c r="G13" s="120"/>
      <c r="H13" s="119">
        <v>10</v>
      </c>
      <c r="I13" s="120"/>
      <c r="J13" s="127" t="s">
        <v>156</v>
      </c>
      <c r="K13" s="119">
        <v>10</v>
      </c>
      <c r="L13" s="123"/>
      <c r="M13" s="123"/>
      <c r="N13" s="122"/>
      <c r="O13" s="126"/>
    </row>
    <row r="14" spans="1:21" ht="14.25" x14ac:dyDescent="0.15">
      <c r="A14" s="255"/>
      <c r="B14" s="123"/>
      <c r="C14" s="123"/>
      <c r="D14" s="123"/>
      <c r="E14" s="55"/>
      <c r="F14" s="55"/>
      <c r="G14" s="123"/>
      <c r="H14" s="122"/>
      <c r="I14" s="123"/>
      <c r="J14" s="123"/>
      <c r="K14" s="122"/>
      <c r="L14" s="120" t="s">
        <v>421</v>
      </c>
      <c r="M14" s="120" t="s">
        <v>212</v>
      </c>
      <c r="N14" s="119">
        <v>10</v>
      </c>
      <c r="O14" s="118" t="s">
        <v>127</v>
      </c>
    </row>
    <row r="15" spans="1:21" ht="14.25" x14ac:dyDescent="0.15">
      <c r="A15" s="255"/>
      <c r="B15" s="120" t="s">
        <v>420</v>
      </c>
      <c r="C15" s="120" t="s">
        <v>212</v>
      </c>
      <c r="D15" s="120" t="s">
        <v>127</v>
      </c>
      <c r="E15" s="61"/>
      <c r="F15" s="61"/>
      <c r="G15" s="120"/>
      <c r="H15" s="119">
        <v>20</v>
      </c>
      <c r="I15" s="120" t="s">
        <v>420</v>
      </c>
      <c r="J15" s="120" t="s">
        <v>212</v>
      </c>
      <c r="K15" s="119">
        <v>10</v>
      </c>
      <c r="L15" s="120"/>
      <c r="M15" s="120" t="s">
        <v>200</v>
      </c>
      <c r="N15" s="119">
        <v>5</v>
      </c>
      <c r="O15" s="118"/>
    </row>
    <row r="16" spans="1:21" ht="14.25" x14ac:dyDescent="0.15">
      <c r="A16" s="255"/>
      <c r="B16" s="120"/>
      <c r="C16" s="120" t="s">
        <v>30</v>
      </c>
      <c r="D16" s="120"/>
      <c r="E16" s="61"/>
      <c r="F16" s="61"/>
      <c r="G16" s="120"/>
      <c r="H16" s="119">
        <v>10</v>
      </c>
      <c r="I16" s="120"/>
      <c r="J16" s="120" t="s">
        <v>30</v>
      </c>
      <c r="K16" s="119">
        <v>10</v>
      </c>
      <c r="L16" s="123"/>
      <c r="M16" s="123"/>
      <c r="N16" s="122"/>
      <c r="O16" s="126"/>
    </row>
    <row r="17" spans="1:15" ht="14.25" x14ac:dyDescent="0.15">
      <c r="A17" s="255"/>
      <c r="B17" s="120"/>
      <c r="C17" s="120" t="s">
        <v>200</v>
      </c>
      <c r="D17" s="120"/>
      <c r="E17" s="61"/>
      <c r="F17" s="61"/>
      <c r="G17" s="120"/>
      <c r="H17" s="119">
        <v>5</v>
      </c>
      <c r="I17" s="120"/>
      <c r="J17" s="120" t="s">
        <v>200</v>
      </c>
      <c r="K17" s="119">
        <v>5</v>
      </c>
      <c r="L17" s="120" t="s">
        <v>425</v>
      </c>
      <c r="M17" s="120" t="s">
        <v>30</v>
      </c>
      <c r="N17" s="119">
        <v>5</v>
      </c>
      <c r="O17" s="118"/>
    </row>
    <row r="18" spans="1:15" ht="14.25" x14ac:dyDescent="0.15">
      <c r="A18" s="255"/>
      <c r="B18" s="120"/>
      <c r="C18" s="120" t="s">
        <v>157</v>
      </c>
      <c r="D18" s="120" t="s">
        <v>127</v>
      </c>
      <c r="E18" s="61"/>
      <c r="F18" s="61"/>
      <c r="G18" s="120"/>
      <c r="H18" s="119">
        <v>5</v>
      </c>
      <c r="I18" s="120"/>
      <c r="J18" s="120" t="s">
        <v>157</v>
      </c>
      <c r="K18" s="119">
        <v>5</v>
      </c>
      <c r="L18" s="120"/>
      <c r="M18" s="120" t="s">
        <v>157</v>
      </c>
      <c r="N18" s="119">
        <v>5</v>
      </c>
      <c r="O18" s="118" t="s">
        <v>127</v>
      </c>
    </row>
    <row r="19" spans="1:15" ht="14.25" x14ac:dyDescent="0.15">
      <c r="A19" s="255"/>
      <c r="B19" s="120"/>
      <c r="C19" s="120"/>
      <c r="D19" s="120"/>
      <c r="E19" s="61"/>
      <c r="F19" s="61"/>
      <c r="G19" s="120" t="s">
        <v>32</v>
      </c>
      <c r="H19" s="119" t="s">
        <v>439</v>
      </c>
      <c r="I19" s="120"/>
      <c r="J19" s="120"/>
      <c r="K19" s="119"/>
      <c r="L19" s="120"/>
      <c r="M19" s="120" t="s">
        <v>230</v>
      </c>
      <c r="N19" s="119">
        <v>5</v>
      </c>
      <c r="O19" s="118"/>
    </row>
    <row r="20" spans="1:15" ht="14.25" x14ac:dyDescent="0.15">
      <c r="A20" s="255"/>
      <c r="B20" s="123"/>
      <c r="C20" s="123"/>
      <c r="D20" s="123"/>
      <c r="E20" s="55"/>
      <c r="F20" s="55"/>
      <c r="G20" s="123"/>
      <c r="H20" s="122"/>
      <c r="I20" s="123"/>
      <c r="J20" s="123"/>
      <c r="K20" s="122"/>
      <c r="L20" s="120"/>
      <c r="M20" s="120"/>
      <c r="N20" s="119"/>
      <c r="O20" s="118"/>
    </row>
    <row r="21" spans="1:15" ht="14.25" x14ac:dyDescent="0.15">
      <c r="A21" s="255"/>
      <c r="B21" s="120" t="s">
        <v>164</v>
      </c>
      <c r="C21" s="120" t="s">
        <v>230</v>
      </c>
      <c r="D21" s="120"/>
      <c r="E21" s="61"/>
      <c r="F21" s="61"/>
      <c r="G21" s="120"/>
      <c r="H21" s="119">
        <v>10</v>
      </c>
      <c r="I21" s="120" t="s">
        <v>164</v>
      </c>
      <c r="J21" s="120" t="s">
        <v>230</v>
      </c>
      <c r="K21" s="119">
        <v>5</v>
      </c>
      <c r="L21" s="120"/>
      <c r="M21" s="120"/>
      <c r="N21" s="119"/>
      <c r="O21" s="118"/>
    </row>
    <row r="22" spans="1:15" ht="14.25" x14ac:dyDescent="0.15">
      <c r="A22" s="255"/>
      <c r="B22" s="120"/>
      <c r="C22" s="120"/>
      <c r="D22" s="120"/>
      <c r="E22" s="61"/>
      <c r="F22" s="61"/>
      <c r="G22" s="120" t="s">
        <v>53</v>
      </c>
      <c r="H22" s="119" t="s">
        <v>439</v>
      </c>
      <c r="I22" s="120"/>
      <c r="J22" s="120"/>
      <c r="K22" s="119"/>
      <c r="L22" s="120"/>
      <c r="M22" s="120"/>
      <c r="N22" s="119"/>
      <c r="O22" s="118"/>
    </row>
    <row r="23" spans="1:15" ht="15" thickBot="1" x14ac:dyDescent="0.2">
      <c r="A23" s="256"/>
      <c r="B23" s="117"/>
      <c r="C23" s="117"/>
      <c r="D23" s="117"/>
      <c r="E23" s="68"/>
      <c r="F23" s="154"/>
      <c r="G23" s="117"/>
      <c r="H23" s="116"/>
      <c r="I23" s="117"/>
      <c r="J23" s="117"/>
      <c r="K23" s="116"/>
      <c r="L23" s="117"/>
      <c r="M23" s="117"/>
      <c r="N23" s="116"/>
      <c r="O23" s="115"/>
    </row>
    <row r="24" spans="1:15" ht="14.25" x14ac:dyDescent="0.15">
      <c r="B24" s="114"/>
      <c r="C24" s="114"/>
      <c r="D24" s="114"/>
      <c r="G24" s="114"/>
      <c r="H24" s="113"/>
      <c r="I24" s="114"/>
      <c r="J24" s="114"/>
      <c r="K24" s="113"/>
      <c r="L24" s="114"/>
      <c r="M24" s="114"/>
      <c r="N24" s="113"/>
    </row>
    <row r="25" spans="1:15" ht="14.25" x14ac:dyDescent="0.15">
      <c r="B25" s="114"/>
      <c r="C25" s="114"/>
      <c r="D25" s="114"/>
      <c r="G25" s="114"/>
      <c r="H25" s="113"/>
      <c r="I25" s="114"/>
      <c r="J25" s="114"/>
      <c r="K25" s="113"/>
      <c r="L25" s="114"/>
      <c r="M25" s="114"/>
      <c r="N25" s="113"/>
    </row>
    <row r="26" spans="1:15" ht="14.25" x14ac:dyDescent="0.15">
      <c r="B26" s="114"/>
      <c r="C26" s="114"/>
      <c r="D26" s="114"/>
      <c r="G26" s="114"/>
      <c r="H26" s="113"/>
      <c r="I26" s="114"/>
      <c r="J26" s="114"/>
      <c r="K26" s="113"/>
      <c r="L26" s="114"/>
      <c r="M26" s="114"/>
      <c r="N26" s="113"/>
    </row>
    <row r="27" spans="1:15" ht="14.25" x14ac:dyDescent="0.15">
      <c r="B27" s="114"/>
      <c r="C27" s="114"/>
      <c r="D27" s="114"/>
      <c r="G27" s="114"/>
      <c r="H27" s="113"/>
      <c r="I27" s="114"/>
      <c r="J27" s="114"/>
      <c r="K27" s="113"/>
      <c r="L27" s="114"/>
      <c r="M27" s="114"/>
      <c r="N27" s="113"/>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sheetData>
  <mergeCells count="15">
    <mergeCell ref="L8:N8"/>
    <mergeCell ref="O8:O10"/>
    <mergeCell ref="I9:K9"/>
    <mergeCell ref="L9:N9"/>
    <mergeCell ref="A11:A23"/>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30"/>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231</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119</v>
      </c>
      <c r="C10" s="48" t="s">
        <v>120</v>
      </c>
      <c r="D10" s="49" t="s">
        <v>121</v>
      </c>
      <c r="E10" s="97">
        <v>0.5</v>
      </c>
      <c r="F10" s="51" t="s">
        <v>45</v>
      </c>
      <c r="G10" s="82"/>
      <c r="H10" s="86" t="s">
        <v>120</v>
      </c>
      <c r="I10" s="49" t="s">
        <v>121</v>
      </c>
      <c r="J10" s="51">
        <f>ROUNDUP(E10*0.75,2)</f>
        <v>0.38</v>
      </c>
      <c r="K10" s="51" t="s">
        <v>45</v>
      </c>
      <c r="L10" s="51"/>
      <c r="M10" s="51">
        <f>ROUNDUP((R5*E10)+(R6*J10)+(R7*(E10*2)),2)</f>
        <v>0</v>
      </c>
      <c r="N10" s="90">
        <f>M10</f>
        <v>0</v>
      </c>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232</v>
      </c>
      <c r="C12" s="60" t="s">
        <v>182</v>
      </c>
      <c r="D12" s="61"/>
      <c r="E12" s="65">
        <v>1</v>
      </c>
      <c r="F12" s="62" t="s">
        <v>79</v>
      </c>
      <c r="G12" s="84" t="s">
        <v>78</v>
      </c>
      <c r="H12" s="88" t="s">
        <v>182</v>
      </c>
      <c r="I12" s="61"/>
      <c r="J12" s="62">
        <f>ROUNDUP(E12*0.75,2)</f>
        <v>0.75</v>
      </c>
      <c r="K12" s="62" t="s">
        <v>79</v>
      </c>
      <c r="L12" s="62" t="s">
        <v>78</v>
      </c>
      <c r="M12" s="62">
        <f>ROUNDUP((R5*E12)+(R6*J12)+(R7*(E12*2)),2)</f>
        <v>0</v>
      </c>
      <c r="N12" s="92">
        <f>M12</f>
        <v>0</v>
      </c>
      <c r="O12" s="80" t="s">
        <v>233</v>
      </c>
      <c r="P12" s="63" t="s">
        <v>64</v>
      </c>
      <c r="Q12" s="61"/>
      <c r="R12" s="64">
        <v>1</v>
      </c>
      <c r="S12" s="65">
        <f t="shared" ref="S12:S18" si="0">ROUNDUP(R12*0.75,2)</f>
        <v>0.75</v>
      </c>
      <c r="T12" s="76">
        <f>ROUNDUP((R5*R12)+(R6*S12)+(R7*(R12*2)),2)</f>
        <v>0</v>
      </c>
    </row>
    <row r="13" spans="1:21" ht="18.75" customHeight="1" x14ac:dyDescent="0.15">
      <c r="A13" s="232"/>
      <c r="B13" s="80"/>
      <c r="C13" s="60" t="s">
        <v>30</v>
      </c>
      <c r="D13" s="61"/>
      <c r="E13" s="65">
        <v>10</v>
      </c>
      <c r="F13" s="62" t="s">
        <v>27</v>
      </c>
      <c r="G13" s="84"/>
      <c r="H13" s="88" t="s">
        <v>30</v>
      </c>
      <c r="I13" s="61"/>
      <c r="J13" s="62">
        <f>ROUNDUP(E13*0.75,2)</f>
        <v>7.5</v>
      </c>
      <c r="K13" s="62" t="s">
        <v>27</v>
      </c>
      <c r="L13" s="62"/>
      <c r="M13" s="62">
        <f>ROUNDUP((R5*E13)+(R6*J13)+(R7*(E13*2)),2)</f>
        <v>0</v>
      </c>
      <c r="N13" s="92">
        <f>ROUND(M13+(M13*6/100),2)</f>
        <v>0</v>
      </c>
      <c r="O13" s="80" t="s">
        <v>234</v>
      </c>
      <c r="P13" s="63" t="s">
        <v>40</v>
      </c>
      <c r="Q13" s="61" t="s">
        <v>41</v>
      </c>
      <c r="R13" s="64">
        <v>3</v>
      </c>
      <c r="S13" s="65">
        <f t="shared" si="0"/>
        <v>2.25</v>
      </c>
      <c r="T13" s="76">
        <f>ROUNDUP((R5*R13)+(R6*S13)+(R7*(R13*2)),2)</f>
        <v>0</v>
      </c>
    </row>
    <row r="14" spans="1:21" ht="18.75" customHeight="1" x14ac:dyDescent="0.15">
      <c r="A14" s="232"/>
      <c r="B14" s="80"/>
      <c r="C14" s="60" t="s">
        <v>29</v>
      </c>
      <c r="D14" s="61"/>
      <c r="E14" s="65">
        <v>20</v>
      </c>
      <c r="F14" s="62" t="s">
        <v>27</v>
      </c>
      <c r="G14" s="84"/>
      <c r="H14" s="88" t="s">
        <v>29</v>
      </c>
      <c r="I14" s="61"/>
      <c r="J14" s="62">
        <f>ROUNDUP(E14*0.75,2)</f>
        <v>15</v>
      </c>
      <c r="K14" s="62" t="s">
        <v>27</v>
      </c>
      <c r="L14" s="62"/>
      <c r="M14" s="62">
        <f>ROUNDUP((R5*E14)+(R6*J14)+(R7*(E14*2)),2)</f>
        <v>0</v>
      </c>
      <c r="N14" s="92">
        <f>M14</f>
        <v>0</v>
      </c>
      <c r="O14" s="80" t="s">
        <v>235</v>
      </c>
      <c r="P14" s="63" t="s">
        <v>111</v>
      </c>
      <c r="Q14" s="61"/>
      <c r="R14" s="64">
        <v>1.5</v>
      </c>
      <c r="S14" s="65">
        <f t="shared" si="0"/>
        <v>1.1300000000000001</v>
      </c>
      <c r="T14" s="76">
        <f>ROUNDUP((R5*R14)+(R6*S14)+(R7*(R14*2)),2)</f>
        <v>0</v>
      </c>
    </row>
    <row r="15" spans="1:21" ht="18.75" customHeight="1" x14ac:dyDescent="0.15">
      <c r="A15" s="232"/>
      <c r="B15" s="80"/>
      <c r="C15" s="60"/>
      <c r="D15" s="61"/>
      <c r="E15" s="65"/>
      <c r="F15" s="62"/>
      <c r="G15" s="84"/>
      <c r="H15" s="88"/>
      <c r="I15" s="61"/>
      <c r="J15" s="62"/>
      <c r="K15" s="62"/>
      <c r="L15" s="62"/>
      <c r="M15" s="62"/>
      <c r="N15" s="92"/>
      <c r="O15" s="80" t="s">
        <v>236</v>
      </c>
      <c r="P15" s="63" t="s">
        <v>122</v>
      </c>
      <c r="Q15" s="61" t="s">
        <v>36</v>
      </c>
      <c r="R15" s="64">
        <v>3</v>
      </c>
      <c r="S15" s="65">
        <f t="shared" si="0"/>
        <v>2.25</v>
      </c>
      <c r="T15" s="76">
        <f>ROUNDUP((R5*R15)+(R6*S15)+(R7*(R15*2)),2)</f>
        <v>0</v>
      </c>
    </row>
    <row r="16" spans="1:21" ht="18.75" customHeight="1" x14ac:dyDescent="0.15">
      <c r="A16" s="232"/>
      <c r="B16" s="80"/>
      <c r="C16" s="60"/>
      <c r="D16" s="61"/>
      <c r="E16" s="65"/>
      <c r="F16" s="62"/>
      <c r="G16" s="84"/>
      <c r="H16" s="88"/>
      <c r="I16" s="61"/>
      <c r="J16" s="62"/>
      <c r="K16" s="62"/>
      <c r="L16" s="62"/>
      <c r="M16" s="62"/>
      <c r="N16" s="92"/>
      <c r="O16" s="80" t="s">
        <v>237</v>
      </c>
      <c r="P16" s="63" t="s">
        <v>64</v>
      </c>
      <c r="Q16" s="61"/>
      <c r="R16" s="64">
        <v>1</v>
      </c>
      <c r="S16" s="65">
        <f t="shared" si="0"/>
        <v>0.75</v>
      </c>
      <c r="T16" s="76">
        <f>ROUNDUP((R5*R16)+(R6*S16)+(R7*(R16*2)),2)</f>
        <v>0</v>
      </c>
    </row>
    <row r="17" spans="1:20" ht="18.75" customHeight="1" x14ac:dyDescent="0.15">
      <c r="A17" s="232"/>
      <c r="B17" s="80"/>
      <c r="C17" s="60"/>
      <c r="D17" s="61"/>
      <c r="E17" s="65"/>
      <c r="F17" s="62"/>
      <c r="G17" s="84"/>
      <c r="H17" s="88"/>
      <c r="I17" s="61"/>
      <c r="J17" s="62"/>
      <c r="K17" s="62"/>
      <c r="L17" s="62"/>
      <c r="M17" s="62"/>
      <c r="N17" s="92"/>
      <c r="O17" s="80" t="s">
        <v>24</v>
      </c>
      <c r="P17" s="63" t="s">
        <v>64</v>
      </c>
      <c r="Q17" s="61"/>
      <c r="R17" s="64">
        <v>1</v>
      </c>
      <c r="S17" s="65">
        <f t="shared" si="0"/>
        <v>0.75</v>
      </c>
      <c r="T17" s="76">
        <f>ROUNDUP((R5*R17)+(R6*S17)+(R7*(R17*2)),2)</f>
        <v>0</v>
      </c>
    </row>
    <row r="18" spans="1:20" ht="18.75" customHeight="1" x14ac:dyDescent="0.15">
      <c r="A18" s="232"/>
      <c r="B18" s="80"/>
      <c r="C18" s="60"/>
      <c r="D18" s="61"/>
      <c r="E18" s="65"/>
      <c r="F18" s="62"/>
      <c r="G18" s="84"/>
      <c r="H18" s="88"/>
      <c r="I18" s="61"/>
      <c r="J18" s="62"/>
      <c r="K18" s="62"/>
      <c r="L18" s="62"/>
      <c r="M18" s="62"/>
      <c r="N18" s="92"/>
      <c r="O18" s="80"/>
      <c r="P18" s="63" t="s">
        <v>42</v>
      </c>
      <c r="Q18" s="61"/>
      <c r="R18" s="64">
        <v>0.05</v>
      </c>
      <c r="S18" s="65">
        <f t="shared" si="0"/>
        <v>0.04</v>
      </c>
      <c r="T18" s="76">
        <f>ROUNDUP((R5*R18)+(R6*S18)+(R7*(R18*2)),2)</f>
        <v>0</v>
      </c>
    </row>
    <row r="19" spans="1:20" ht="18.75" customHeight="1" x14ac:dyDescent="0.15">
      <c r="A19" s="232"/>
      <c r="B19" s="79"/>
      <c r="C19" s="54"/>
      <c r="D19" s="55"/>
      <c r="E19" s="56"/>
      <c r="F19" s="57"/>
      <c r="G19" s="83"/>
      <c r="H19" s="87"/>
      <c r="I19" s="55"/>
      <c r="J19" s="57"/>
      <c r="K19" s="57"/>
      <c r="L19" s="57"/>
      <c r="M19" s="57"/>
      <c r="N19" s="91"/>
      <c r="O19" s="79"/>
      <c r="P19" s="58"/>
      <c r="Q19" s="55"/>
      <c r="R19" s="59"/>
      <c r="S19" s="56"/>
      <c r="T19" s="75"/>
    </row>
    <row r="20" spans="1:20" ht="18.75" customHeight="1" x14ac:dyDescent="0.15">
      <c r="A20" s="232"/>
      <c r="B20" s="80" t="s">
        <v>308</v>
      </c>
      <c r="C20" s="60" t="s">
        <v>156</v>
      </c>
      <c r="D20" s="61"/>
      <c r="E20" s="65">
        <v>20</v>
      </c>
      <c r="F20" s="62" t="s">
        <v>27</v>
      </c>
      <c r="G20" s="84"/>
      <c r="H20" s="88" t="s">
        <v>156</v>
      </c>
      <c r="I20" s="61"/>
      <c r="J20" s="62">
        <f>ROUNDUP(E20*0.75,2)</f>
        <v>15</v>
      </c>
      <c r="K20" s="62" t="s">
        <v>27</v>
      </c>
      <c r="L20" s="62"/>
      <c r="M20" s="62">
        <f>ROUNDUP((R5*E20)+(R6*J20)+(R7*(E20*2)),2)</f>
        <v>0</v>
      </c>
      <c r="N20" s="92">
        <f>M20</f>
        <v>0</v>
      </c>
      <c r="O20" s="80" t="s">
        <v>238</v>
      </c>
      <c r="P20" s="63" t="s">
        <v>65</v>
      </c>
      <c r="Q20" s="61"/>
      <c r="R20" s="64">
        <v>1</v>
      </c>
      <c r="S20" s="65">
        <f>ROUNDUP(R20*0.75,2)</f>
        <v>0.75</v>
      </c>
      <c r="T20" s="76">
        <f>ROUNDUP((R5*R20)+(R6*S20)+(R7*(R20*2)),2)</f>
        <v>0</v>
      </c>
    </row>
    <row r="21" spans="1:20" ht="18.75" customHeight="1" x14ac:dyDescent="0.15">
      <c r="A21" s="232"/>
      <c r="B21" s="80" t="s">
        <v>280</v>
      </c>
      <c r="C21" s="60" t="s">
        <v>66</v>
      </c>
      <c r="D21" s="61"/>
      <c r="E21" s="65">
        <v>30</v>
      </c>
      <c r="F21" s="62" t="s">
        <v>27</v>
      </c>
      <c r="G21" s="84"/>
      <c r="H21" s="88" t="s">
        <v>66</v>
      </c>
      <c r="I21" s="61"/>
      <c r="J21" s="62">
        <f>ROUNDUP(E21*0.75,2)</f>
        <v>22.5</v>
      </c>
      <c r="K21" s="62" t="s">
        <v>27</v>
      </c>
      <c r="L21" s="62"/>
      <c r="M21" s="62">
        <f>ROUNDUP((R5*E21)+(R6*J21)+(R7*(E21*2)),2)</f>
        <v>0</v>
      </c>
      <c r="N21" s="92">
        <f>M21</f>
        <v>0</v>
      </c>
      <c r="O21" s="80" t="s">
        <v>239</v>
      </c>
      <c r="P21" s="63" t="s">
        <v>33</v>
      </c>
      <c r="Q21" s="61"/>
      <c r="R21" s="64">
        <v>1</v>
      </c>
      <c r="S21" s="65">
        <f>ROUNDUP(R21*0.75,2)</f>
        <v>0.75</v>
      </c>
      <c r="T21" s="76">
        <f>ROUNDUP((R5*R21)+(R6*S21)+(R7*(R21*2)),2)</f>
        <v>0</v>
      </c>
    </row>
    <row r="22" spans="1:20" ht="18.75" customHeight="1" x14ac:dyDescent="0.15">
      <c r="A22" s="232"/>
      <c r="B22" s="80"/>
      <c r="C22" s="60" t="s">
        <v>196</v>
      </c>
      <c r="D22" s="61"/>
      <c r="E22" s="65">
        <v>10</v>
      </c>
      <c r="F22" s="62" t="s">
        <v>27</v>
      </c>
      <c r="G22" s="84"/>
      <c r="H22" s="88" t="s">
        <v>196</v>
      </c>
      <c r="I22" s="61"/>
      <c r="J22" s="62">
        <f>ROUNDUP(E22*0.75,2)</f>
        <v>7.5</v>
      </c>
      <c r="K22" s="62" t="s">
        <v>27</v>
      </c>
      <c r="L22" s="62"/>
      <c r="M22" s="62">
        <f>ROUNDUP((R5*E22)+(R6*J22)+(R7*(E22*2)),2)</f>
        <v>0</v>
      </c>
      <c r="N22" s="92">
        <f>M22</f>
        <v>0</v>
      </c>
      <c r="O22" s="99" t="s">
        <v>309</v>
      </c>
      <c r="P22" s="63" t="s">
        <v>35</v>
      </c>
      <c r="Q22" s="61" t="s">
        <v>36</v>
      </c>
      <c r="R22" s="64">
        <v>1</v>
      </c>
      <c r="S22" s="65">
        <f>ROUNDUP(R22*0.75,2)</f>
        <v>0.75</v>
      </c>
      <c r="T22" s="76">
        <f>ROUNDUP((R5*R22)+(R6*S22)+(R7*(R22*2)),2)</f>
        <v>0</v>
      </c>
    </row>
    <row r="23" spans="1:20" ht="18.75" customHeight="1" x14ac:dyDescent="0.15">
      <c r="A23" s="232"/>
      <c r="B23" s="80"/>
      <c r="C23" s="60"/>
      <c r="D23" s="61"/>
      <c r="E23" s="65"/>
      <c r="F23" s="62"/>
      <c r="G23" s="84"/>
      <c r="H23" s="88"/>
      <c r="I23" s="61"/>
      <c r="J23" s="62"/>
      <c r="K23" s="62"/>
      <c r="L23" s="62"/>
      <c r="M23" s="62"/>
      <c r="N23" s="92"/>
      <c r="O23" s="36" t="s">
        <v>310</v>
      </c>
      <c r="P23" s="63" t="s">
        <v>123</v>
      </c>
      <c r="Q23" s="61"/>
      <c r="R23" s="64">
        <v>2</v>
      </c>
      <c r="S23" s="65">
        <f>ROUNDUP(R23*0.75,2)</f>
        <v>1.5</v>
      </c>
      <c r="T23" s="76">
        <f>ROUNDUP((R5*R23)+(R6*S23)+(R7*(R23*2)),2)</f>
        <v>0</v>
      </c>
    </row>
    <row r="24" spans="1:20" ht="18.75" customHeight="1" x14ac:dyDescent="0.15">
      <c r="A24" s="232"/>
      <c r="B24" s="80"/>
      <c r="C24" s="60"/>
      <c r="D24" s="61"/>
      <c r="E24" s="65"/>
      <c r="F24" s="62"/>
      <c r="G24" s="84"/>
      <c r="H24" s="88"/>
      <c r="I24" s="61"/>
      <c r="J24" s="62"/>
      <c r="K24" s="62"/>
      <c r="L24" s="62"/>
      <c r="M24" s="62"/>
      <c r="N24" s="92"/>
      <c r="O24" s="80" t="s">
        <v>24</v>
      </c>
      <c r="P24" s="63" t="s">
        <v>28</v>
      </c>
      <c r="Q24" s="61"/>
      <c r="R24" s="64">
        <v>2</v>
      </c>
      <c r="S24" s="65">
        <f>ROUNDUP(R24*0.75,2)</f>
        <v>1.5</v>
      </c>
      <c r="T24" s="76">
        <f>ROUNDUP((R5*R24)+(R6*S24)+(R7*(R24*2)),2)</f>
        <v>0</v>
      </c>
    </row>
    <row r="25" spans="1:20" ht="18.75" customHeight="1" x14ac:dyDescent="0.15">
      <c r="A25" s="232"/>
      <c r="B25" s="79"/>
      <c r="C25" s="54"/>
      <c r="D25" s="55"/>
      <c r="E25" s="56"/>
      <c r="F25" s="57"/>
      <c r="G25" s="83"/>
      <c r="H25" s="87"/>
      <c r="I25" s="55"/>
      <c r="J25" s="57"/>
      <c r="K25" s="57"/>
      <c r="L25" s="57"/>
      <c r="M25" s="57"/>
      <c r="N25" s="91"/>
      <c r="O25" s="79"/>
      <c r="P25" s="58"/>
      <c r="Q25" s="55"/>
      <c r="R25" s="59"/>
      <c r="S25" s="56"/>
      <c r="T25" s="75"/>
    </row>
    <row r="26" spans="1:20" ht="18.75" customHeight="1" x14ac:dyDescent="0.15">
      <c r="A26" s="232"/>
      <c r="B26" s="80" t="s">
        <v>43</v>
      </c>
      <c r="C26" s="60" t="s">
        <v>185</v>
      </c>
      <c r="D26" s="61"/>
      <c r="E26" s="65">
        <v>3</v>
      </c>
      <c r="F26" s="62" t="s">
        <v>27</v>
      </c>
      <c r="G26" s="84"/>
      <c r="H26" s="88" t="s">
        <v>185</v>
      </c>
      <c r="I26" s="61"/>
      <c r="J26" s="62">
        <f>ROUNDUP(E26*0.75,2)</f>
        <v>2.25</v>
      </c>
      <c r="K26" s="62" t="s">
        <v>27</v>
      </c>
      <c r="L26" s="62"/>
      <c r="M26" s="62">
        <f>ROUNDUP((R5*E26)+(R6*J26)+(R7*(E26*2)),2)</f>
        <v>0</v>
      </c>
      <c r="N26" s="92">
        <f>M26</f>
        <v>0</v>
      </c>
      <c r="O26" s="80" t="s">
        <v>24</v>
      </c>
      <c r="P26" s="63" t="s">
        <v>32</v>
      </c>
      <c r="Q26" s="61"/>
      <c r="R26" s="64">
        <v>100</v>
      </c>
      <c r="S26" s="65">
        <f>ROUNDUP(R26*0.75,2)</f>
        <v>75</v>
      </c>
      <c r="T26" s="76">
        <f>ROUNDUP((R5*R26)+(R6*S26)+(R7*(R26*2)),2)</f>
        <v>0</v>
      </c>
    </row>
    <row r="27" spans="1:20" ht="18.75" customHeight="1" x14ac:dyDescent="0.15">
      <c r="A27" s="232"/>
      <c r="B27" s="80"/>
      <c r="C27" s="60" t="s">
        <v>124</v>
      </c>
      <c r="D27" s="61" t="s">
        <v>36</v>
      </c>
      <c r="E27" s="66">
        <v>0.1</v>
      </c>
      <c r="F27" s="62" t="s">
        <v>45</v>
      </c>
      <c r="G27" s="84"/>
      <c r="H27" s="88" t="s">
        <v>124</v>
      </c>
      <c r="I27" s="61" t="s">
        <v>36</v>
      </c>
      <c r="J27" s="62">
        <f>ROUNDUP(E27*0.75,2)</f>
        <v>0.08</v>
      </c>
      <c r="K27" s="62" t="s">
        <v>45</v>
      </c>
      <c r="L27" s="62"/>
      <c r="M27" s="62">
        <f>ROUNDUP((R5*E27)+(R6*J27)+(R7*(E27*2)),2)</f>
        <v>0</v>
      </c>
      <c r="N27" s="92">
        <f>M27</f>
        <v>0</v>
      </c>
      <c r="O27" s="80"/>
      <c r="P27" s="63" t="s">
        <v>46</v>
      </c>
      <c r="Q27" s="61"/>
      <c r="R27" s="64">
        <v>3</v>
      </c>
      <c r="S27" s="65">
        <f>ROUNDUP(R27*0.75,2)</f>
        <v>2.25</v>
      </c>
      <c r="T27" s="76">
        <f>ROUNDUP((R5*R27)+(R6*S27)+(R7*(R27*2)),2)</f>
        <v>0</v>
      </c>
    </row>
    <row r="28" spans="1:20" ht="18.75" customHeight="1" x14ac:dyDescent="0.15">
      <c r="A28" s="232"/>
      <c r="B28" s="79"/>
      <c r="C28" s="54"/>
      <c r="D28" s="55"/>
      <c r="E28" s="56"/>
      <c r="F28" s="57"/>
      <c r="G28" s="83"/>
      <c r="H28" s="87"/>
      <c r="I28" s="55"/>
      <c r="J28" s="57"/>
      <c r="K28" s="57"/>
      <c r="L28" s="57"/>
      <c r="M28" s="57"/>
      <c r="N28" s="91"/>
      <c r="O28" s="79"/>
      <c r="P28" s="58"/>
      <c r="Q28" s="55"/>
      <c r="R28" s="59"/>
      <c r="S28" s="56"/>
      <c r="T28" s="75"/>
    </row>
    <row r="29" spans="1:20" ht="18.75" customHeight="1" x14ac:dyDescent="0.15">
      <c r="A29" s="232"/>
      <c r="B29" s="80" t="s">
        <v>202</v>
      </c>
      <c r="C29" s="60" t="s">
        <v>203</v>
      </c>
      <c r="D29" s="61"/>
      <c r="E29" s="65">
        <v>30</v>
      </c>
      <c r="F29" s="62" t="s">
        <v>27</v>
      </c>
      <c r="G29" s="84"/>
      <c r="H29" s="88" t="s">
        <v>203</v>
      </c>
      <c r="I29" s="61"/>
      <c r="J29" s="62">
        <f>ROUNDUP(E29*0.75,2)</f>
        <v>22.5</v>
      </c>
      <c r="K29" s="62" t="s">
        <v>27</v>
      </c>
      <c r="L29" s="62"/>
      <c r="M29" s="62">
        <f>ROUNDUP((R5*E29)+(R6*J29)+(R7*(E29*2)),2)</f>
        <v>0</v>
      </c>
      <c r="N29" s="92">
        <f>M29</f>
        <v>0</v>
      </c>
      <c r="O29" s="80"/>
      <c r="P29" s="63"/>
      <c r="Q29" s="61"/>
      <c r="R29" s="64"/>
      <c r="S29" s="65"/>
      <c r="T29" s="76"/>
    </row>
    <row r="30" spans="1:20" ht="18.75" customHeight="1" thickBot="1" x14ac:dyDescent="0.2">
      <c r="A30" s="233"/>
      <c r="B30" s="81"/>
      <c r="C30" s="67"/>
      <c r="D30" s="68"/>
      <c r="E30" s="69"/>
      <c r="F30" s="70"/>
      <c r="G30" s="85"/>
      <c r="H30" s="89"/>
      <c r="I30" s="68"/>
      <c r="J30" s="70"/>
      <c r="K30" s="70"/>
      <c r="L30" s="70"/>
      <c r="M30" s="70"/>
      <c r="N30" s="93"/>
      <c r="O30" s="81"/>
      <c r="P30" s="71"/>
      <c r="Q30" s="68"/>
      <c r="R30" s="72"/>
      <c r="S30" s="69"/>
      <c r="T30" s="77"/>
    </row>
  </sheetData>
  <mergeCells count="5">
    <mergeCell ref="H1:O1"/>
    <mergeCell ref="A2:T2"/>
    <mergeCell ref="Q3:T3"/>
    <mergeCell ref="A8:F8"/>
    <mergeCell ref="A10:A30"/>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9A921-4766-4606-BA6D-504EB045261D}">
  <dimension ref="A1:P62"/>
  <sheetViews>
    <sheetView zoomScale="70" zoomScaleNormal="70" zoomScaleSheetLayoutView="100" workbookViewId="0"/>
  </sheetViews>
  <sheetFormatPr defaultRowHeight="13.5" x14ac:dyDescent="0.15"/>
  <cols>
    <col min="1" max="1" width="4.5" style="104" bestFit="1" customWidth="1"/>
    <col min="2" max="2" width="3.375" style="103" bestFit="1" customWidth="1"/>
    <col min="3" max="8" width="17.625" style="103" customWidth="1"/>
    <col min="9" max="9" width="4.5" style="104" bestFit="1" customWidth="1"/>
    <col min="10" max="10" width="3.375" style="103" bestFit="1" customWidth="1"/>
    <col min="11" max="16" width="17.625" style="103" customWidth="1"/>
    <col min="17" max="244" width="9" style="103"/>
    <col min="245" max="245" width="4.5" style="103" bestFit="1" customWidth="1"/>
    <col min="246" max="246" width="3.375" style="103" bestFit="1" customWidth="1"/>
    <col min="247" max="258" width="17.625" style="103" customWidth="1"/>
    <col min="259" max="259" width="4.5" style="103" bestFit="1" customWidth="1"/>
    <col min="260" max="260" width="3.375" style="103" bestFit="1" customWidth="1"/>
    <col min="261" max="272" width="17.625" style="103" customWidth="1"/>
    <col min="273" max="500" width="9" style="103"/>
    <col min="501" max="501" width="4.5" style="103" bestFit="1" customWidth="1"/>
    <col min="502" max="502" width="3.375" style="103" bestFit="1" customWidth="1"/>
    <col min="503" max="514" width="17.625" style="103" customWidth="1"/>
    <col min="515" max="515" width="4.5" style="103" bestFit="1" customWidth="1"/>
    <col min="516" max="516" width="3.375" style="103" bestFit="1" customWidth="1"/>
    <col min="517" max="528" width="17.625" style="103" customWidth="1"/>
    <col min="529" max="756" width="9" style="103"/>
    <col min="757" max="757" width="4.5" style="103" bestFit="1" customWidth="1"/>
    <col min="758" max="758" width="3.375" style="103" bestFit="1" customWidth="1"/>
    <col min="759" max="770" width="17.625" style="103" customWidth="1"/>
    <col min="771" max="771" width="4.5" style="103" bestFit="1" customWidth="1"/>
    <col min="772" max="772" width="3.375" style="103" bestFit="1" customWidth="1"/>
    <col min="773" max="784" width="17.625" style="103" customWidth="1"/>
    <col min="785" max="1012" width="9" style="103"/>
    <col min="1013" max="1013" width="4.5" style="103" bestFit="1" customWidth="1"/>
    <col min="1014" max="1014" width="3.375" style="103" bestFit="1" customWidth="1"/>
    <col min="1015" max="1026" width="17.625" style="103" customWidth="1"/>
    <col min="1027" max="1027" width="4.5" style="103" bestFit="1" customWidth="1"/>
    <col min="1028" max="1028" width="3.375" style="103" bestFit="1" customWidth="1"/>
    <col min="1029" max="1040" width="17.625" style="103" customWidth="1"/>
    <col min="1041" max="1268" width="9" style="103"/>
    <col min="1269" max="1269" width="4.5" style="103" bestFit="1" customWidth="1"/>
    <col min="1270" max="1270" width="3.375" style="103" bestFit="1" customWidth="1"/>
    <col min="1271" max="1282" width="17.625" style="103" customWidth="1"/>
    <col min="1283" max="1283" width="4.5" style="103" bestFit="1" customWidth="1"/>
    <col min="1284" max="1284" width="3.375" style="103" bestFit="1" customWidth="1"/>
    <col min="1285" max="1296" width="17.625" style="103" customWidth="1"/>
    <col min="1297" max="1524" width="9" style="103"/>
    <col min="1525" max="1525" width="4.5" style="103" bestFit="1" customWidth="1"/>
    <col min="1526" max="1526" width="3.375" style="103" bestFit="1" customWidth="1"/>
    <col min="1527" max="1538" width="17.625" style="103" customWidth="1"/>
    <col min="1539" max="1539" width="4.5" style="103" bestFit="1" customWidth="1"/>
    <col min="1540" max="1540" width="3.375" style="103" bestFit="1" customWidth="1"/>
    <col min="1541" max="1552" width="17.625" style="103" customWidth="1"/>
    <col min="1553" max="1780" width="9" style="103"/>
    <col min="1781" max="1781" width="4.5" style="103" bestFit="1" customWidth="1"/>
    <col min="1782" max="1782" width="3.375" style="103" bestFit="1" customWidth="1"/>
    <col min="1783" max="1794" width="17.625" style="103" customWidth="1"/>
    <col min="1795" max="1795" width="4.5" style="103" bestFit="1" customWidth="1"/>
    <col min="1796" max="1796" width="3.375" style="103" bestFit="1" customWidth="1"/>
    <col min="1797" max="1808" width="17.625" style="103" customWidth="1"/>
    <col min="1809" max="2036" width="9" style="103"/>
    <col min="2037" max="2037" width="4.5" style="103" bestFit="1" customWidth="1"/>
    <col min="2038" max="2038" width="3.375" style="103" bestFit="1" customWidth="1"/>
    <col min="2039" max="2050" width="17.625" style="103" customWidth="1"/>
    <col min="2051" max="2051" width="4.5" style="103" bestFit="1" customWidth="1"/>
    <col min="2052" max="2052" width="3.375" style="103" bestFit="1" customWidth="1"/>
    <col min="2053" max="2064" width="17.625" style="103" customWidth="1"/>
    <col min="2065" max="2292" width="9" style="103"/>
    <col min="2293" max="2293" width="4.5" style="103" bestFit="1" customWidth="1"/>
    <col min="2294" max="2294" width="3.375" style="103" bestFit="1" customWidth="1"/>
    <col min="2295" max="2306" width="17.625" style="103" customWidth="1"/>
    <col min="2307" max="2307" width="4.5" style="103" bestFit="1" customWidth="1"/>
    <col min="2308" max="2308" width="3.375" style="103" bestFit="1" customWidth="1"/>
    <col min="2309" max="2320" width="17.625" style="103" customWidth="1"/>
    <col min="2321" max="2548" width="9" style="103"/>
    <col min="2549" max="2549" width="4.5" style="103" bestFit="1" customWidth="1"/>
    <col min="2550" max="2550" width="3.375" style="103" bestFit="1" customWidth="1"/>
    <col min="2551" max="2562" width="17.625" style="103" customWidth="1"/>
    <col min="2563" max="2563" width="4.5" style="103" bestFit="1" customWidth="1"/>
    <col min="2564" max="2564" width="3.375" style="103" bestFit="1" customWidth="1"/>
    <col min="2565" max="2576" width="17.625" style="103" customWidth="1"/>
    <col min="2577" max="2804" width="9" style="103"/>
    <col min="2805" max="2805" width="4.5" style="103" bestFit="1" customWidth="1"/>
    <col min="2806" max="2806" width="3.375" style="103" bestFit="1" customWidth="1"/>
    <col min="2807" max="2818" width="17.625" style="103" customWidth="1"/>
    <col min="2819" max="2819" width="4.5" style="103" bestFit="1" customWidth="1"/>
    <col min="2820" max="2820" width="3.375" style="103" bestFit="1" customWidth="1"/>
    <col min="2821" max="2832" width="17.625" style="103" customWidth="1"/>
    <col min="2833" max="3060" width="9" style="103"/>
    <col min="3061" max="3061" width="4.5" style="103" bestFit="1" customWidth="1"/>
    <col min="3062" max="3062" width="3.375" style="103" bestFit="1" customWidth="1"/>
    <col min="3063" max="3074" width="17.625" style="103" customWidth="1"/>
    <col min="3075" max="3075" width="4.5" style="103" bestFit="1" customWidth="1"/>
    <col min="3076" max="3076" width="3.375" style="103" bestFit="1" customWidth="1"/>
    <col min="3077" max="3088" width="17.625" style="103" customWidth="1"/>
    <col min="3089" max="3316" width="9" style="103"/>
    <col min="3317" max="3317" width="4.5" style="103" bestFit="1" customWidth="1"/>
    <col min="3318" max="3318" width="3.375" style="103" bestFit="1" customWidth="1"/>
    <col min="3319" max="3330" width="17.625" style="103" customWidth="1"/>
    <col min="3331" max="3331" width="4.5" style="103" bestFit="1" customWidth="1"/>
    <col min="3332" max="3332" width="3.375" style="103" bestFit="1" customWidth="1"/>
    <col min="3333" max="3344" width="17.625" style="103" customWidth="1"/>
    <col min="3345" max="3572" width="9" style="103"/>
    <col min="3573" max="3573" width="4.5" style="103" bestFit="1" customWidth="1"/>
    <col min="3574" max="3574" width="3.375" style="103" bestFit="1" customWidth="1"/>
    <col min="3575" max="3586" width="17.625" style="103" customWidth="1"/>
    <col min="3587" max="3587" width="4.5" style="103" bestFit="1" customWidth="1"/>
    <col min="3588" max="3588" width="3.375" style="103" bestFit="1" customWidth="1"/>
    <col min="3589" max="3600" width="17.625" style="103" customWidth="1"/>
    <col min="3601" max="3828" width="9" style="103"/>
    <col min="3829" max="3829" width="4.5" style="103" bestFit="1" customWidth="1"/>
    <col min="3830" max="3830" width="3.375" style="103" bestFit="1" customWidth="1"/>
    <col min="3831" max="3842" width="17.625" style="103" customWidth="1"/>
    <col min="3843" max="3843" width="4.5" style="103" bestFit="1" customWidth="1"/>
    <col min="3844" max="3844" width="3.375" style="103" bestFit="1" customWidth="1"/>
    <col min="3845" max="3856" width="17.625" style="103" customWidth="1"/>
    <col min="3857" max="4084" width="9" style="103"/>
    <col min="4085" max="4085" width="4.5" style="103" bestFit="1" customWidth="1"/>
    <col min="4086" max="4086" width="3.375" style="103" bestFit="1" customWidth="1"/>
    <col min="4087" max="4098" width="17.625" style="103" customWidth="1"/>
    <col min="4099" max="4099" width="4.5" style="103" bestFit="1" customWidth="1"/>
    <col min="4100" max="4100" width="3.375" style="103" bestFit="1" customWidth="1"/>
    <col min="4101" max="4112" width="17.625" style="103" customWidth="1"/>
    <col min="4113" max="4340" width="9" style="103"/>
    <col min="4341" max="4341" width="4.5" style="103" bestFit="1" customWidth="1"/>
    <col min="4342" max="4342" width="3.375" style="103" bestFit="1" customWidth="1"/>
    <col min="4343" max="4354" width="17.625" style="103" customWidth="1"/>
    <col min="4355" max="4355" width="4.5" style="103" bestFit="1" customWidth="1"/>
    <col min="4356" max="4356" width="3.375" style="103" bestFit="1" customWidth="1"/>
    <col min="4357" max="4368" width="17.625" style="103" customWidth="1"/>
    <col min="4369" max="4596" width="9" style="103"/>
    <col min="4597" max="4597" width="4.5" style="103" bestFit="1" customWidth="1"/>
    <col min="4598" max="4598" width="3.375" style="103" bestFit="1" customWidth="1"/>
    <col min="4599" max="4610" width="17.625" style="103" customWidth="1"/>
    <col min="4611" max="4611" width="4.5" style="103" bestFit="1" customWidth="1"/>
    <col min="4612" max="4612" width="3.375" style="103" bestFit="1" customWidth="1"/>
    <col min="4613" max="4624" width="17.625" style="103" customWidth="1"/>
    <col min="4625" max="4852" width="9" style="103"/>
    <col min="4853" max="4853" width="4.5" style="103" bestFit="1" customWidth="1"/>
    <col min="4854" max="4854" width="3.375" style="103" bestFit="1" customWidth="1"/>
    <col min="4855" max="4866" width="17.625" style="103" customWidth="1"/>
    <col min="4867" max="4867" width="4.5" style="103" bestFit="1" customWidth="1"/>
    <col min="4868" max="4868" width="3.375" style="103" bestFit="1" customWidth="1"/>
    <col min="4869" max="4880" width="17.625" style="103" customWidth="1"/>
    <col min="4881" max="5108" width="9" style="103"/>
    <col min="5109" max="5109" width="4.5" style="103" bestFit="1" customWidth="1"/>
    <col min="5110" max="5110" width="3.375" style="103" bestFit="1" customWidth="1"/>
    <col min="5111" max="5122" width="17.625" style="103" customWidth="1"/>
    <col min="5123" max="5123" width="4.5" style="103" bestFit="1" customWidth="1"/>
    <col min="5124" max="5124" width="3.375" style="103" bestFit="1" customWidth="1"/>
    <col min="5125" max="5136" width="17.625" style="103" customWidth="1"/>
    <col min="5137" max="5364" width="9" style="103"/>
    <col min="5365" max="5365" width="4.5" style="103" bestFit="1" customWidth="1"/>
    <col min="5366" max="5366" width="3.375" style="103" bestFit="1" customWidth="1"/>
    <col min="5367" max="5378" width="17.625" style="103" customWidth="1"/>
    <col min="5379" max="5379" width="4.5" style="103" bestFit="1" customWidth="1"/>
    <col min="5380" max="5380" width="3.375" style="103" bestFit="1" customWidth="1"/>
    <col min="5381" max="5392" width="17.625" style="103" customWidth="1"/>
    <col min="5393" max="5620" width="9" style="103"/>
    <col min="5621" max="5621" width="4.5" style="103" bestFit="1" customWidth="1"/>
    <col min="5622" max="5622" width="3.375" style="103" bestFit="1" customWidth="1"/>
    <col min="5623" max="5634" width="17.625" style="103" customWidth="1"/>
    <col min="5635" max="5635" width="4.5" style="103" bestFit="1" customWidth="1"/>
    <col min="5636" max="5636" width="3.375" style="103" bestFit="1" customWidth="1"/>
    <col min="5637" max="5648" width="17.625" style="103" customWidth="1"/>
    <col min="5649" max="5876" width="9" style="103"/>
    <col min="5877" max="5877" width="4.5" style="103" bestFit="1" customWidth="1"/>
    <col min="5878" max="5878" width="3.375" style="103" bestFit="1" customWidth="1"/>
    <col min="5879" max="5890" width="17.625" style="103" customWidth="1"/>
    <col min="5891" max="5891" width="4.5" style="103" bestFit="1" customWidth="1"/>
    <col min="5892" max="5892" width="3.375" style="103" bestFit="1" customWidth="1"/>
    <col min="5893" max="5904" width="17.625" style="103" customWidth="1"/>
    <col min="5905" max="6132" width="9" style="103"/>
    <col min="6133" max="6133" width="4.5" style="103" bestFit="1" customWidth="1"/>
    <col min="6134" max="6134" width="3.375" style="103" bestFit="1" customWidth="1"/>
    <col min="6135" max="6146" width="17.625" style="103" customWidth="1"/>
    <col min="6147" max="6147" width="4.5" style="103" bestFit="1" customWidth="1"/>
    <col min="6148" max="6148" width="3.375" style="103" bestFit="1" customWidth="1"/>
    <col min="6149" max="6160" width="17.625" style="103" customWidth="1"/>
    <col min="6161" max="6388" width="9" style="103"/>
    <col min="6389" max="6389" width="4.5" style="103" bestFit="1" customWidth="1"/>
    <col min="6390" max="6390" width="3.375" style="103" bestFit="1" customWidth="1"/>
    <col min="6391" max="6402" width="17.625" style="103" customWidth="1"/>
    <col min="6403" max="6403" width="4.5" style="103" bestFit="1" customWidth="1"/>
    <col min="6404" max="6404" width="3.375" style="103" bestFit="1" customWidth="1"/>
    <col min="6405" max="6416" width="17.625" style="103" customWidth="1"/>
    <col min="6417" max="6644" width="9" style="103"/>
    <col min="6645" max="6645" width="4.5" style="103" bestFit="1" customWidth="1"/>
    <col min="6646" max="6646" width="3.375" style="103" bestFit="1" customWidth="1"/>
    <col min="6647" max="6658" width="17.625" style="103" customWidth="1"/>
    <col min="6659" max="6659" width="4.5" style="103" bestFit="1" customWidth="1"/>
    <col min="6660" max="6660" width="3.375" style="103" bestFit="1" customWidth="1"/>
    <col min="6661" max="6672" width="17.625" style="103" customWidth="1"/>
    <col min="6673" max="6900" width="9" style="103"/>
    <col min="6901" max="6901" width="4.5" style="103" bestFit="1" customWidth="1"/>
    <col min="6902" max="6902" width="3.375" style="103" bestFit="1" customWidth="1"/>
    <col min="6903" max="6914" width="17.625" style="103" customWidth="1"/>
    <col min="6915" max="6915" width="4.5" style="103" bestFit="1" customWidth="1"/>
    <col min="6916" max="6916" width="3.375" style="103" bestFit="1" customWidth="1"/>
    <col min="6917" max="6928" width="17.625" style="103" customWidth="1"/>
    <col min="6929" max="7156" width="9" style="103"/>
    <col min="7157" max="7157" width="4.5" style="103" bestFit="1" customWidth="1"/>
    <col min="7158" max="7158" width="3.375" style="103" bestFit="1" customWidth="1"/>
    <col min="7159" max="7170" width="17.625" style="103" customWidth="1"/>
    <col min="7171" max="7171" width="4.5" style="103" bestFit="1" customWidth="1"/>
    <col min="7172" max="7172" width="3.375" style="103" bestFit="1" customWidth="1"/>
    <col min="7173" max="7184" width="17.625" style="103" customWidth="1"/>
    <col min="7185" max="7412" width="9" style="103"/>
    <col min="7413" max="7413" width="4.5" style="103" bestFit="1" customWidth="1"/>
    <col min="7414" max="7414" width="3.375" style="103" bestFit="1" customWidth="1"/>
    <col min="7415" max="7426" width="17.625" style="103" customWidth="1"/>
    <col min="7427" max="7427" width="4.5" style="103" bestFit="1" customWidth="1"/>
    <col min="7428" max="7428" width="3.375" style="103" bestFit="1" customWidth="1"/>
    <col min="7429" max="7440" width="17.625" style="103" customWidth="1"/>
    <col min="7441" max="7668" width="9" style="103"/>
    <col min="7669" max="7669" width="4.5" style="103" bestFit="1" customWidth="1"/>
    <col min="7670" max="7670" width="3.375" style="103" bestFit="1" customWidth="1"/>
    <col min="7671" max="7682" width="17.625" style="103" customWidth="1"/>
    <col min="7683" max="7683" width="4.5" style="103" bestFit="1" customWidth="1"/>
    <col min="7684" max="7684" width="3.375" style="103" bestFit="1" customWidth="1"/>
    <col min="7685" max="7696" width="17.625" style="103" customWidth="1"/>
    <col min="7697" max="7924" width="9" style="103"/>
    <col min="7925" max="7925" width="4.5" style="103" bestFit="1" customWidth="1"/>
    <col min="7926" max="7926" width="3.375" style="103" bestFit="1" customWidth="1"/>
    <col min="7927" max="7938" width="17.625" style="103" customWidth="1"/>
    <col min="7939" max="7939" width="4.5" style="103" bestFit="1" customWidth="1"/>
    <col min="7940" max="7940" width="3.375" style="103" bestFit="1" customWidth="1"/>
    <col min="7941" max="7952" width="17.625" style="103" customWidth="1"/>
    <col min="7953" max="8180" width="9" style="103"/>
    <col min="8181" max="8181" width="4.5" style="103" bestFit="1" customWidth="1"/>
    <col min="8182" max="8182" width="3.375" style="103" bestFit="1" customWidth="1"/>
    <col min="8183" max="8194" width="17.625" style="103" customWidth="1"/>
    <col min="8195" max="8195" width="4.5" style="103" bestFit="1" customWidth="1"/>
    <col min="8196" max="8196" width="3.375" style="103" bestFit="1" customWidth="1"/>
    <col min="8197" max="8208" width="17.625" style="103" customWidth="1"/>
    <col min="8209" max="8436" width="9" style="103"/>
    <col min="8437" max="8437" width="4.5" style="103" bestFit="1" customWidth="1"/>
    <col min="8438" max="8438" width="3.375" style="103" bestFit="1" customWidth="1"/>
    <col min="8439" max="8450" width="17.625" style="103" customWidth="1"/>
    <col min="8451" max="8451" width="4.5" style="103" bestFit="1" customWidth="1"/>
    <col min="8452" max="8452" width="3.375" style="103" bestFit="1" customWidth="1"/>
    <col min="8453" max="8464" width="17.625" style="103" customWidth="1"/>
    <col min="8465" max="8692" width="9" style="103"/>
    <col min="8693" max="8693" width="4.5" style="103" bestFit="1" customWidth="1"/>
    <col min="8694" max="8694" width="3.375" style="103" bestFit="1" customWidth="1"/>
    <col min="8695" max="8706" width="17.625" style="103" customWidth="1"/>
    <col min="8707" max="8707" width="4.5" style="103" bestFit="1" customWidth="1"/>
    <col min="8708" max="8708" width="3.375" style="103" bestFit="1" customWidth="1"/>
    <col min="8709" max="8720" width="17.625" style="103" customWidth="1"/>
    <col min="8721" max="8948" width="9" style="103"/>
    <col min="8949" max="8949" width="4.5" style="103" bestFit="1" customWidth="1"/>
    <col min="8950" max="8950" width="3.375" style="103" bestFit="1" customWidth="1"/>
    <col min="8951" max="8962" width="17.625" style="103" customWidth="1"/>
    <col min="8963" max="8963" width="4.5" style="103" bestFit="1" customWidth="1"/>
    <col min="8964" max="8964" width="3.375" style="103" bestFit="1" customWidth="1"/>
    <col min="8965" max="8976" width="17.625" style="103" customWidth="1"/>
    <col min="8977" max="9204" width="9" style="103"/>
    <col min="9205" max="9205" width="4.5" style="103" bestFit="1" customWidth="1"/>
    <col min="9206" max="9206" width="3.375" style="103" bestFit="1" customWidth="1"/>
    <col min="9207" max="9218" width="17.625" style="103" customWidth="1"/>
    <col min="9219" max="9219" width="4.5" style="103" bestFit="1" customWidth="1"/>
    <col min="9220" max="9220" width="3.375" style="103" bestFit="1" customWidth="1"/>
    <col min="9221" max="9232" width="17.625" style="103" customWidth="1"/>
    <col min="9233" max="9460" width="9" style="103"/>
    <col min="9461" max="9461" width="4.5" style="103" bestFit="1" customWidth="1"/>
    <col min="9462" max="9462" width="3.375" style="103" bestFit="1" customWidth="1"/>
    <col min="9463" max="9474" width="17.625" style="103" customWidth="1"/>
    <col min="9475" max="9475" width="4.5" style="103" bestFit="1" customWidth="1"/>
    <col min="9476" max="9476" width="3.375" style="103" bestFit="1" customWidth="1"/>
    <col min="9477" max="9488" width="17.625" style="103" customWidth="1"/>
    <col min="9489" max="9716" width="9" style="103"/>
    <col min="9717" max="9717" width="4.5" style="103" bestFit="1" customWidth="1"/>
    <col min="9718" max="9718" width="3.375" style="103" bestFit="1" customWidth="1"/>
    <col min="9719" max="9730" width="17.625" style="103" customWidth="1"/>
    <col min="9731" max="9731" width="4.5" style="103" bestFit="1" customWidth="1"/>
    <col min="9732" max="9732" width="3.375" style="103" bestFit="1" customWidth="1"/>
    <col min="9733" max="9744" width="17.625" style="103" customWidth="1"/>
    <col min="9745" max="9972" width="9" style="103"/>
    <col min="9973" max="9973" width="4.5" style="103" bestFit="1" customWidth="1"/>
    <col min="9974" max="9974" width="3.375" style="103" bestFit="1" customWidth="1"/>
    <col min="9975" max="9986" width="17.625" style="103" customWidth="1"/>
    <col min="9987" max="9987" width="4.5" style="103" bestFit="1" customWidth="1"/>
    <col min="9988" max="9988" width="3.375" style="103" bestFit="1" customWidth="1"/>
    <col min="9989" max="10000" width="17.625" style="103" customWidth="1"/>
    <col min="10001" max="10228" width="9" style="103"/>
    <col min="10229" max="10229" width="4.5" style="103" bestFit="1" customWidth="1"/>
    <col min="10230" max="10230" width="3.375" style="103" bestFit="1" customWidth="1"/>
    <col min="10231" max="10242" width="17.625" style="103" customWidth="1"/>
    <col min="10243" max="10243" width="4.5" style="103" bestFit="1" customWidth="1"/>
    <col min="10244" max="10244" width="3.375" style="103" bestFit="1" customWidth="1"/>
    <col min="10245" max="10256" width="17.625" style="103" customWidth="1"/>
    <col min="10257" max="10484" width="9" style="103"/>
    <col min="10485" max="10485" width="4.5" style="103" bestFit="1" customWidth="1"/>
    <col min="10486" max="10486" width="3.375" style="103" bestFit="1" customWidth="1"/>
    <col min="10487" max="10498" width="17.625" style="103" customWidth="1"/>
    <col min="10499" max="10499" width="4.5" style="103" bestFit="1" customWidth="1"/>
    <col min="10500" max="10500" width="3.375" style="103" bestFit="1" customWidth="1"/>
    <col min="10501" max="10512" width="17.625" style="103" customWidth="1"/>
    <col min="10513" max="10740" width="9" style="103"/>
    <col min="10741" max="10741" width="4.5" style="103" bestFit="1" customWidth="1"/>
    <col min="10742" max="10742" width="3.375" style="103" bestFit="1" customWidth="1"/>
    <col min="10743" max="10754" width="17.625" style="103" customWidth="1"/>
    <col min="10755" max="10755" width="4.5" style="103" bestFit="1" customWidth="1"/>
    <col min="10756" max="10756" width="3.375" style="103" bestFit="1" customWidth="1"/>
    <col min="10757" max="10768" width="17.625" style="103" customWidth="1"/>
    <col min="10769" max="10996" width="9" style="103"/>
    <col min="10997" max="10997" width="4.5" style="103" bestFit="1" customWidth="1"/>
    <col min="10998" max="10998" width="3.375" style="103" bestFit="1" customWidth="1"/>
    <col min="10999" max="11010" width="17.625" style="103" customWidth="1"/>
    <col min="11011" max="11011" width="4.5" style="103" bestFit="1" customWidth="1"/>
    <col min="11012" max="11012" width="3.375" style="103" bestFit="1" customWidth="1"/>
    <col min="11013" max="11024" width="17.625" style="103" customWidth="1"/>
    <col min="11025" max="11252" width="9" style="103"/>
    <col min="11253" max="11253" width="4.5" style="103" bestFit="1" customWidth="1"/>
    <col min="11254" max="11254" width="3.375" style="103" bestFit="1" customWidth="1"/>
    <col min="11255" max="11266" width="17.625" style="103" customWidth="1"/>
    <col min="11267" max="11267" width="4.5" style="103" bestFit="1" customWidth="1"/>
    <col min="11268" max="11268" width="3.375" style="103" bestFit="1" customWidth="1"/>
    <col min="11269" max="11280" width="17.625" style="103" customWidth="1"/>
    <col min="11281" max="11508" width="9" style="103"/>
    <col min="11509" max="11509" width="4.5" style="103" bestFit="1" customWidth="1"/>
    <col min="11510" max="11510" width="3.375" style="103" bestFit="1" customWidth="1"/>
    <col min="11511" max="11522" width="17.625" style="103" customWidth="1"/>
    <col min="11523" max="11523" width="4.5" style="103" bestFit="1" customWidth="1"/>
    <col min="11524" max="11524" width="3.375" style="103" bestFit="1" customWidth="1"/>
    <col min="11525" max="11536" width="17.625" style="103" customWidth="1"/>
    <col min="11537" max="11764" width="9" style="103"/>
    <col min="11765" max="11765" width="4.5" style="103" bestFit="1" customWidth="1"/>
    <col min="11766" max="11766" width="3.375" style="103" bestFit="1" customWidth="1"/>
    <col min="11767" max="11778" width="17.625" style="103" customWidth="1"/>
    <col min="11779" max="11779" width="4.5" style="103" bestFit="1" customWidth="1"/>
    <col min="11780" max="11780" width="3.375" style="103" bestFit="1" customWidth="1"/>
    <col min="11781" max="11792" width="17.625" style="103" customWidth="1"/>
    <col min="11793" max="12020" width="9" style="103"/>
    <col min="12021" max="12021" width="4.5" style="103" bestFit="1" customWidth="1"/>
    <col min="12022" max="12022" width="3.375" style="103" bestFit="1" customWidth="1"/>
    <col min="12023" max="12034" width="17.625" style="103" customWidth="1"/>
    <col min="12035" max="12035" width="4.5" style="103" bestFit="1" customWidth="1"/>
    <col min="12036" max="12036" width="3.375" style="103" bestFit="1" customWidth="1"/>
    <col min="12037" max="12048" width="17.625" style="103" customWidth="1"/>
    <col min="12049" max="12276" width="9" style="103"/>
    <col min="12277" max="12277" width="4.5" style="103" bestFit="1" customWidth="1"/>
    <col min="12278" max="12278" width="3.375" style="103" bestFit="1" customWidth="1"/>
    <col min="12279" max="12290" width="17.625" style="103" customWidth="1"/>
    <col min="12291" max="12291" width="4.5" style="103" bestFit="1" customWidth="1"/>
    <col min="12292" max="12292" width="3.375" style="103" bestFit="1" customWidth="1"/>
    <col min="12293" max="12304" width="17.625" style="103" customWidth="1"/>
    <col min="12305" max="12532" width="9" style="103"/>
    <col min="12533" max="12533" width="4.5" style="103" bestFit="1" customWidth="1"/>
    <col min="12534" max="12534" width="3.375" style="103" bestFit="1" customWidth="1"/>
    <col min="12535" max="12546" width="17.625" style="103" customWidth="1"/>
    <col min="12547" max="12547" width="4.5" style="103" bestFit="1" customWidth="1"/>
    <col min="12548" max="12548" width="3.375" style="103" bestFit="1" customWidth="1"/>
    <col min="12549" max="12560" width="17.625" style="103" customWidth="1"/>
    <col min="12561" max="12788" width="9" style="103"/>
    <col min="12789" max="12789" width="4.5" style="103" bestFit="1" customWidth="1"/>
    <col min="12790" max="12790" width="3.375" style="103" bestFit="1" customWidth="1"/>
    <col min="12791" max="12802" width="17.625" style="103" customWidth="1"/>
    <col min="12803" max="12803" width="4.5" style="103" bestFit="1" customWidth="1"/>
    <col min="12804" max="12804" width="3.375" style="103" bestFit="1" customWidth="1"/>
    <col min="12805" max="12816" width="17.625" style="103" customWidth="1"/>
    <col min="12817" max="13044" width="9" style="103"/>
    <col min="13045" max="13045" width="4.5" style="103" bestFit="1" customWidth="1"/>
    <col min="13046" max="13046" width="3.375" style="103" bestFit="1" customWidth="1"/>
    <col min="13047" max="13058" width="17.625" style="103" customWidth="1"/>
    <col min="13059" max="13059" width="4.5" style="103" bestFit="1" customWidth="1"/>
    <col min="13060" max="13060" width="3.375" style="103" bestFit="1" customWidth="1"/>
    <col min="13061" max="13072" width="17.625" style="103" customWidth="1"/>
    <col min="13073" max="13300" width="9" style="103"/>
    <col min="13301" max="13301" width="4.5" style="103" bestFit="1" customWidth="1"/>
    <col min="13302" max="13302" width="3.375" style="103" bestFit="1" customWidth="1"/>
    <col min="13303" max="13314" width="17.625" style="103" customWidth="1"/>
    <col min="13315" max="13315" width="4.5" style="103" bestFit="1" customWidth="1"/>
    <col min="13316" max="13316" width="3.375" style="103" bestFit="1" customWidth="1"/>
    <col min="13317" max="13328" width="17.625" style="103" customWidth="1"/>
    <col min="13329" max="13556" width="9" style="103"/>
    <col min="13557" max="13557" width="4.5" style="103" bestFit="1" customWidth="1"/>
    <col min="13558" max="13558" width="3.375" style="103" bestFit="1" customWidth="1"/>
    <col min="13559" max="13570" width="17.625" style="103" customWidth="1"/>
    <col min="13571" max="13571" width="4.5" style="103" bestFit="1" customWidth="1"/>
    <col min="13572" max="13572" width="3.375" style="103" bestFit="1" customWidth="1"/>
    <col min="13573" max="13584" width="17.625" style="103" customWidth="1"/>
    <col min="13585" max="13812" width="9" style="103"/>
    <col min="13813" max="13813" width="4.5" style="103" bestFit="1" customWidth="1"/>
    <col min="13814" max="13814" width="3.375" style="103" bestFit="1" customWidth="1"/>
    <col min="13815" max="13826" width="17.625" style="103" customWidth="1"/>
    <col min="13827" max="13827" width="4.5" style="103" bestFit="1" customWidth="1"/>
    <col min="13828" max="13828" width="3.375" style="103" bestFit="1" customWidth="1"/>
    <col min="13829" max="13840" width="17.625" style="103" customWidth="1"/>
    <col min="13841" max="14068" width="9" style="103"/>
    <col min="14069" max="14069" width="4.5" style="103" bestFit="1" customWidth="1"/>
    <col min="14070" max="14070" width="3.375" style="103" bestFit="1" customWidth="1"/>
    <col min="14071" max="14082" width="17.625" style="103" customWidth="1"/>
    <col min="14083" max="14083" width="4.5" style="103" bestFit="1" customWidth="1"/>
    <col min="14084" max="14084" width="3.375" style="103" bestFit="1" customWidth="1"/>
    <col min="14085" max="14096" width="17.625" style="103" customWidth="1"/>
    <col min="14097" max="14324" width="9" style="103"/>
    <col min="14325" max="14325" width="4.5" style="103" bestFit="1" customWidth="1"/>
    <col min="14326" max="14326" width="3.375" style="103" bestFit="1" customWidth="1"/>
    <col min="14327" max="14338" width="17.625" style="103" customWidth="1"/>
    <col min="14339" max="14339" width="4.5" style="103" bestFit="1" customWidth="1"/>
    <col min="14340" max="14340" width="3.375" style="103" bestFit="1" customWidth="1"/>
    <col min="14341" max="14352" width="17.625" style="103" customWidth="1"/>
    <col min="14353" max="14580" width="9" style="103"/>
    <col min="14581" max="14581" width="4.5" style="103" bestFit="1" customWidth="1"/>
    <col min="14582" max="14582" width="3.375" style="103" bestFit="1" customWidth="1"/>
    <col min="14583" max="14594" width="17.625" style="103" customWidth="1"/>
    <col min="14595" max="14595" width="4.5" style="103" bestFit="1" customWidth="1"/>
    <col min="14596" max="14596" width="3.375" style="103" bestFit="1" customWidth="1"/>
    <col min="14597" max="14608" width="17.625" style="103" customWidth="1"/>
    <col min="14609" max="14836" width="9" style="103"/>
    <col min="14837" max="14837" width="4.5" style="103" bestFit="1" customWidth="1"/>
    <col min="14838" max="14838" width="3.375" style="103" bestFit="1" customWidth="1"/>
    <col min="14839" max="14850" width="17.625" style="103" customWidth="1"/>
    <col min="14851" max="14851" width="4.5" style="103" bestFit="1" customWidth="1"/>
    <col min="14852" max="14852" width="3.375" style="103" bestFit="1" customWidth="1"/>
    <col min="14853" max="14864" width="17.625" style="103" customWidth="1"/>
    <col min="14865" max="15092" width="9" style="103"/>
    <col min="15093" max="15093" width="4.5" style="103" bestFit="1" customWidth="1"/>
    <col min="15094" max="15094" width="3.375" style="103" bestFit="1" customWidth="1"/>
    <col min="15095" max="15106" width="17.625" style="103" customWidth="1"/>
    <col min="15107" max="15107" width="4.5" style="103" bestFit="1" customWidth="1"/>
    <col min="15108" max="15108" width="3.375" style="103" bestFit="1" customWidth="1"/>
    <col min="15109" max="15120" width="17.625" style="103" customWidth="1"/>
    <col min="15121" max="15348" width="9" style="103"/>
    <col min="15349" max="15349" width="4.5" style="103" bestFit="1" customWidth="1"/>
    <col min="15350" max="15350" width="3.375" style="103" bestFit="1" customWidth="1"/>
    <col min="15351" max="15362" width="17.625" style="103" customWidth="1"/>
    <col min="15363" max="15363" width="4.5" style="103" bestFit="1" customWidth="1"/>
    <col min="15364" max="15364" width="3.375" style="103" bestFit="1" customWidth="1"/>
    <col min="15365" max="15376" width="17.625" style="103" customWidth="1"/>
    <col min="15377" max="15604" width="9" style="103"/>
    <col min="15605" max="15605" width="4.5" style="103" bestFit="1" customWidth="1"/>
    <col min="15606" max="15606" width="3.375" style="103" bestFit="1" customWidth="1"/>
    <col min="15607" max="15618" width="17.625" style="103" customWidth="1"/>
    <col min="15619" max="15619" width="4.5" style="103" bestFit="1" customWidth="1"/>
    <col min="15620" max="15620" width="3.375" style="103" bestFit="1" customWidth="1"/>
    <col min="15621" max="15632" width="17.625" style="103" customWidth="1"/>
    <col min="15633" max="15860" width="9" style="103"/>
    <col min="15861" max="15861" width="4.5" style="103" bestFit="1" customWidth="1"/>
    <col min="15862" max="15862" width="3.375" style="103" bestFit="1" customWidth="1"/>
    <col min="15863" max="15874" width="17.625" style="103" customWidth="1"/>
    <col min="15875" max="15875" width="4.5" style="103" bestFit="1" customWidth="1"/>
    <col min="15876" max="15876" width="3.375" style="103" bestFit="1" customWidth="1"/>
    <col min="15877" max="15888" width="17.625" style="103" customWidth="1"/>
    <col min="15889" max="16116" width="9" style="103"/>
    <col min="16117" max="16117" width="4.5" style="103" bestFit="1" customWidth="1"/>
    <col min="16118" max="16118" width="3.375" style="103" bestFit="1" customWidth="1"/>
    <col min="16119" max="16130" width="17.625" style="103" customWidth="1"/>
    <col min="16131" max="16131" width="4.5" style="103" bestFit="1" customWidth="1"/>
    <col min="16132" max="16132" width="3.375" style="103" bestFit="1" customWidth="1"/>
    <col min="16133" max="16144" width="17.625" style="103" customWidth="1"/>
    <col min="16145" max="16384" width="9" style="103"/>
  </cols>
  <sheetData>
    <row r="1" spans="1:16" ht="65.25" customHeight="1" x14ac:dyDescent="0.15">
      <c r="A1" s="102"/>
      <c r="I1" s="102"/>
    </row>
    <row r="2" spans="1:16" s="104" customFormat="1" ht="21.75" customHeight="1" x14ac:dyDescent="0.15">
      <c r="A2" s="188" t="s">
        <v>318</v>
      </c>
      <c r="B2" s="160" t="s">
        <v>319</v>
      </c>
      <c r="C2" s="189" t="s">
        <v>320</v>
      </c>
      <c r="D2" s="190"/>
      <c r="E2" s="161" t="s">
        <v>321</v>
      </c>
      <c r="F2" s="162"/>
      <c r="G2" s="161" t="s">
        <v>322</v>
      </c>
      <c r="H2" s="199"/>
      <c r="I2" s="188" t="s">
        <v>318</v>
      </c>
      <c r="J2" s="160" t="s">
        <v>319</v>
      </c>
      <c r="K2" s="161" t="s">
        <v>320</v>
      </c>
      <c r="L2" s="162"/>
      <c r="M2" s="161" t="s">
        <v>321</v>
      </c>
      <c r="N2" s="162"/>
      <c r="O2" s="167" t="s">
        <v>322</v>
      </c>
      <c r="P2" s="168"/>
    </row>
    <row r="3" spans="1:16" s="104" customFormat="1" ht="13.5" customHeight="1" x14ac:dyDescent="0.15">
      <c r="A3" s="188"/>
      <c r="B3" s="160"/>
      <c r="C3" s="191"/>
      <c r="D3" s="192"/>
      <c r="E3" s="195"/>
      <c r="F3" s="196"/>
      <c r="G3" s="195"/>
      <c r="H3" s="200"/>
      <c r="I3" s="188"/>
      <c r="J3" s="160"/>
      <c r="K3" s="163"/>
      <c r="L3" s="164"/>
      <c r="M3" s="163"/>
      <c r="N3" s="164"/>
      <c r="O3" s="169"/>
      <c r="P3" s="170"/>
    </row>
    <row r="4" spans="1:16" s="104" customFormat="1" ht="18.75" customHeight="1" x14ac:dyDescent="0.15">
      <c r="A4" s="188"/>
      <c r="B4" s="160"/>
      <c r="C4" s="193"/>
      <c r="D4" s="194"/>
      <c r="E4" s="197"/>
      <c r="F4" s="198"/>
      <c r="G4" s="197"/>
      <c r="H4" s="201"/>
      <c r="I4" s="188"/>
      <c r="J4" s="160"/>
      <c r="K4" s="165"/>
      <c r="L4" s="166"/>
      <c r="M4" s="165"/>
      <c r="N4" s="166"/>
      <c r="O4" s="171"/>
      <c r="P4" s="172"/>
    </row>
    <row r="5" spans="1:16" s="104" customFormat="1" ht="15.75" customHeight="1" x14ac:dyDescent="0.15">
      <c r="A5" s="188"/>
      <c r="B5" s="160"/>
      <c r="C5" s="105" t="s">
        <v>2</v>
      </c>
      <c r="D5" s="105" t="s">
        <v>323</v>
      </c>
      <c r="E5" s="105" t="s">
        <v>2</v>
      </c>
      <c r="F5" s="105" t="s">
        <v>323</v>
      </c>
      <c r="G5" s="105" t="s">
        <v>2</v>
      </c>
      <c r="H5" s="105" t="s">
        <v>323</v>
      </c>
      <c r="I5" s="188"/>
      <c r="J5" s="160"/>
      <c r="K5" s="105" t="s">
        <v>2</v>
      </c>
      <c r="L5" s="105" t="s">
        <v>323</v>
      </c>
      <c r="M5" s="105" t="s">
        <v>2</v>
      </c>
      <c r="N5" s="105" t="s">
        <v>323</v>
      </c>
      <c r="O5" s="106" t="s">
        <v>2</v>
      </c>
      <c r="P5" s="105" t="s">
        <v>323</v>
      </c>
    </row>
    <row r="6" spans="1:16" s="104" customFormat="1" ht="13.5" customHeight="1" x14ac:dyDescent="0.15">
      <c r="A6" s="173">
        <v>2</v>
      </c>
      <c r="B6" s="176" t="s">
        <v>324</v>
      </c>
      <c r="C6" s="107" t="s">
        <v>325</v>
      </c>
      <c r="D6" s="179" t="s">
        <v>326</v>
      </c>
      <c r="E6" s="107" t="s">
        <v>325</v>
      </c>
      <c r="F6" s="179" t="s">
        <v>326</v>
      </c>
      <c r="G6" s="107" t="s">
        <v>327</v>
      </c>
      <c r="H6" s="182" t="s">
        <v>328</v>
      </c>
      <c r="I6" s="185">
        <v>17</v>
      </c>
      <c r="J6" s="176" t="s">
        <v>329</v>
      </c>
      <c r="K6" s="108" t="s">
        <v>325</v>
      </c>
      <c r="L6" s="202" t="s">
        <v>330</v>
      </c>
      <c r="M6" s="108" t="s">
        <v>325</v>
      </c>
      <c r="N6" s="202" t="s">
        <v>331</v>
      </c>
      <c r="O6" s="108" t="s">
        <v>327</v>
      </c>
      <c r="P6" s="202" t="s">
        <v>332</v>
      </c>
    </row>
    <row r="7" spans="1:16" x14ac:dyDescent="0.15">
      <c r="A7" s="174"/>
      <c r="B7" s="177"/>
      <c r="C7" s="108" t="s">
        <v>333</v>
      </c>
      <c r="D7" s="180"/>
      <c r="E7" s="108" t="s">
        <v>333</v>
      </c>
      <c r="F7" s="180"/>
      <c r="G7" s="108" t="s">
        <v>334</v>
      </c>
      <c r="H7" s="183"/>
      <c r="I7" s="186"/>
      <c r="J7" s="177"/>
      <c r="K7" s="108" t="s">
        <v>335</v>
      </c>
      <c r="L7" s="203"/>
      <c r="M7" s="108" t="s">
        <v>336</v>
      </c>
      <c r="N7" s="203"/>
      <c r="O7" s="108" t="s">
        <v>337</v>
      </c>
      <c r="P7" s="203"/>
    </row>
    <row r="8" spans="1:16" x14ac:dyDescent="0.15">
      <c r="A8" s="174"/>
      <c r="B8" s="177"/>
      <c r="C8" s="108" t="s">
        <v>338</v>
      </c>
      <c r="D8" s="180"/>
      <c r="E8" s="108" t="s">
        <v>338</v>
      </c>
      <c r="F8" s="180"/>
      <c r="G8" s="108" t="s">
        <v>339</v>
      </c>
      <c r="H8" s="183"/>
      <c r="I8" s="186"/>
      <c r="J8" s="177"/>
      <c r="K8" s="108" t="s">
        <v>340</v>
      </c>
      <c r="L8" s="203"/>
      <c r="M8" s="108" t="s">
        <v>341</v>
      </c>
      <c r="N8" s="203"/>
      <c r="O8" s="108" t="s">
        <v>342</v>
      </c>
      <c r="P8" s="203"/>
    </row>
    <row r="9" spans="1:16" x14ac:dyDescent="0.15">
      <c r="A9" s="175"/>
      <c r="B9" s="178"/>
      <c r="C9" s="109" t="s">
        <v>343</v>
      </c>
      <c r="D9" s="181"/>
      <c r="E9" s="109" t="s">
        <v>343</v>
      </c>
      <c r="F9" s="181"/>
      <c r="G9" s="109" t="s">
        <v>88</v>
      </c>
      <c r="H9" s="184"/>
      <c r="I9" s="187"/>
      <c r="J9" s="178"/>
      <c r="K9" s="108"/>
      <c r="L9" s="204"/>
      <c r="M9" s="108"/>
      <c r="N9" s="204"/>
      <c r="O9" s="108"/>
      <c r="P9" s="204"/>
    </row>
    <row r="10" spans="1:16" ht="13.5" customHeight="1" x14ac:dyDescent="0.15">
      <c r="A10" s="205">
        <v>3</v>
      </c>
      <c r="B10" s="206" t="s">
        <v>329</v>
      </c>
      <c r="C10" s="108" t="s">
        <v>325</v>
      </c>
      <c r="D10" s="179" t="s">
        <v>344</v>
      </c>
      <c r="E10" s="108" t="s">
        <v>325</v>
      </c>
      <c r="F10" s="179" t="s">
        <v>345</v>
      </c>
      <c r="G10" s="108" t="s">
        <v>327</v>
      </c>
      <c r="H10" s="182" t="s">
        <v>346</v>
      </c>
      <c r="I10" s="208">
        <v>18</v>
      </c>
      <c r="J10" s="206" t="s">
        <v>53</v>
      </c>
      <c r="K10" s="107" t="s">
        <v>325</v>
      </c>
      <c r="L10" s="202" t="s">
        <v>347</v>
      </c>
      <c r="M10" s="107" t="s">
        <v>325</v>
      </c>
      <c r="N10" s="202" t="s">
        <v>348</v>
      </c>
      <c r="O10" s="107" t="s">
        <v>327</v>
      </c>
      <c r="P10" s="202" t="s">
        <v>349</v>
      </c>
    </row>
    <row r="11" spans="1:16" x14ac:dyDescent="0.15">
      <c r="A11" s="205"/>
      <c r="B11" s="177"/>
      <c r="C11" s="108" t="s">
        <v>350</v>
      </c>
      <c r="D11" s="180"/>
      <c r="E11" s="108" t="s">
        <v>351</v>
      </c>
      <c r="F11" s="180"/>
      <c r="G11" s="108" t="s">
        <v>352</v>
      </c>
      <c r="H11" s="183"/>
      <c r="I11" s="186"/>
      <c r="J11" s="177"/>
      <c r="K11" s="108" t="s">
        <v>353</v>
      </c>
      <c r="L11" s="203"/>
      <c r="M11" s="108" t="s">
        <v>354</v>
      </c>
      <c r="N11" s="203"/>
      <c r="O11" s="108" t="s">
        <v>355</v>
      </c>
      <c r="P11" s="203"/>
    </row>
    <row r="12" spans="1:16" x14ac:dyDescent="0.15">
      <c r="A12" s="205"/>
      <c r="B12" s="177"/>
      <c r="C12" s="108" t="s">
        <v>340</v>
      </c>
      <c r="D12" s="180"/>
      <c r="E12" s="108" t="s">
        <v>341</v>
      </c>
      <c r="F12" s="180"/>
      <c r="G12" s="108" t="s">
        <v>342</v>
      </c>
      <c r="H12" s="183"/>
      <c r="I12" s="186"/>
      <c r="J12" s="177"/>
      <c r="K12" s="108" t="s">
        <v>183</v>
      </c>
      <c r="L12" s="203"/>
      <c r="M12" s="108" t="s">
        <v>183</v>
      </c>
      <c r="N12" s="203"/>
      <c r="O12" s="108" t="s">
        <v>356</v>
      </c>
      <c r="P12" s="203"/>
    </row>
    <row r="13" spans="1:16" x14ac:dyDescent="0.15">
      <c r="A13" s="205"/>
      <c r="B13" s="207"/>
      <c r="C13" s="108"/>
      <c r="D13" s="181"/>
      <c r="E13" s="108"/>
      <c r="F13" s="181"/>
      <c r="G13" s="108"/>
      <c r="H13" s="184"/>
      <c r="I13" s="209"/>
      <c r="J13" s="207"/>
      <c r="K13" s="109" t="s">
        <v>47</v>
      </c>
      <c r="L13" s="204"/>
      <c r="M13" s="109" t="s">
        <v>47</v>
      </c>
      <c r="N13" s="204"/>
      <c r="O13" s="109" t="s">
        <v>47</v>
      </c>
      <c r="P13" s="204"/>
    </row>
    <row r="14" spans="1:16" ht="13.5" customHeight="1" x14ac:dyDescent="0.15">
      <c r="A14" s="173">
        <v>4</v>
      </c>
      <c r="B14" s="176" t="s">
        <v>53</v>
      </c>
      <c r="C14" s="107" t="s">
        <v>325</v>
      </c>
      <c r="D14" s="179" t="s">
        <v>357</v>
      </c>
      <c r="E14" s="107" t="s">
        <v>325</v>
      </c>
      <c r="F14" s="179" t="s">
        <v>358</v>
      </c>
      <c r="G14" s="107" t="s">
        <v>327</v>
      </c>
      <c r="H14" s="182" t="s">
        <v>359</v>
      </c>
      <c r="I14" s="185">
        <v>19</v>
      </c>
      <c r="J14" s="176" t="s">
        <v>360</v>
      </c>
      <c r="K14" s="108" t="s">
        <v>325</v>
      </c>
      <c r="L14" s="202" t="s">
        <v>361</v>
      </c>
      <c r="M14" s="108" t="s">
        <v>325</v>
      </c>
      <c r="N14" s="202" t="s">
        <v>362</v>
      </c>
      <c r="O14" s="108" t="s">
        <v>327</v>
      </c>
      <c r="P14" s="202" t="s">
        <v>363</v>
      </c>
    </row>
    <row r="15" spans="1:16" x14ac:dyDescent="0.15">
      <c r="A15" s="205"/>
      <c r="B15" s="177"/>
      <c r="C15" s="108" t="s">
        <v>364</v>
      </c>
      <c r="D15" s="180"/>
      <c r="E15" s="108" t="s">
        <v>365</v>
      </c>
      <c r="F15" s="180"/>
      <c r="G15" s="108" t="s">
        <v>366</v>
      </c>
      <c r="H15" s="183"/>
      <c r="I15" s="186"/>
      <c r="J15" s="177"/>
      <c r="K15" s="108" t="s">
        <v>367</v>
      </c>
      <c r="L15" s="203"/>
      <c r="M15" s="108" t="s">
        <v>367</v>
      </c>
      <c r="N15" s="203"/>
      <c r="O15" s="108" t="s">
        <v>368</v>
      </c>
      <c r="P15" s="203"/>
    </row>
    <row r="16" spans="1:16" x14ac:dyDescent="0.15">
      <c r="A16" s="205"/>
      <c r="B16" s="177"/>
      <c r="C16" s="108" t="s">
        <v>369</v>
      </c>
      <c r="D16" s="180"/>
      <c r="E16" s="108" t="s">
        <v>369</v>
      </c>
      <c r="F16" s="180"/>
      <c r="G16" s="108" t="s">
        <v>370</v>
      </c>
      <c r="H16" s="183"/>
      <c r="I16" s="186"/>
      <c r="J16" s="177"/>
      <c r="K16" s="108" t="s">
        <v>371</v>
      </c>
      <c r="L16" s="203"/>
      <c r="M16" s="108" t="s">
        <v>372</v>
      </c>
      <c r="N16" s="203"/>
      <c r="O16" s="108" t="s">
        <v>373</v>
      </c>
      <c r="P16" s="203"/>
    </row>
    <row r="17" spans="1:16" x14ac:dyDescent="0.15">
      <c r="A17" s="210"/>
      <c r="B17" s="178"/>
      <c r="C17" s="109" t="s">
        <v>149</v>
      </c>
      <c r="D17" s="181"/>
      <c r="E17" s="109" t="s">
        <v>149</v>
      </c>
      <c r="F17" s="181"/>
      <c r="G17" s="109" t="s">
        <v>374</v>
      </c>
      <c r="H17" s="184"/>
      <c r="I17" s="187"/>
      <c r="J17" s="178"/>
      <c r="K17" s="108" t="s">
        <v>43</v>
      </c>
      <c r="L17" s="204"/>
      <c r="M17" s="108" t="s">
        <v>43</v>
      </c>
      <c r="N17" s="204"/>
      <c r="O17" s="108"/>
      <c r="P17" s="204"/>
    </row>
    <row r="18" spans="1:16" ht="13.5" customHeight="1" x14ac:dyDescent="0.15">
      <c r="A18" s="205">
        <v>5</v>
      </c>
      <c r="B18" s="206" t="s">
        <v>360</v>
      </c>
      <c r="C18" s="108" t="s">
        <v>325</v>
      </c>
      <c r="D18" s="179" t="s">
        <v>361</v>
      </c>
      <c r="E18" s="108" t="s">
        <v>325</v>
      </c>
      <c r="F18" s="179" t="s">
        <v>362</v>
      </c>
      <c r="G18" s="108" t="s">
        <v>327</v>
      </c>
      <c r="H18" s="182" t="s">
        <v>363</v>
      </c>
      <c r="I18" s="208">
        <v>20</v>
      </c>
      <c r="J18" s="206" t="s">
        <v>375</v>
      </c>
      <c r="K18" s="107" t="s">
        <v>325</v>
      </c>
      <c r="L18" s="202" t="s">
        <v>376</v>
      </c>
      <c r="M18" s="107" t="s">
        <v>325</v>
      </c>
      <c r="N18" s="202" t="s">
        <v>376</v>
      </c>
      <c r="O18" s="107" t="s">
        <v>327</v>
      </c>
      <c r="P18" s="202" t="s">
        <v>377</v>
      </c>
    </row>
    <row r="19" spans="1:16" x14ac:dyDescent="0.15">
      <c r="A19" s="205"/>
      <c r="B19" s="177"/>
      <c r="C19" s="108" t="s">
        <v>367</v>
      </c>
      <c r="D19" s="180"/>
      <c r="E19" s="108" t="s">
        <v>367</v>
      </c>
      <c r="F19" s="180"/>
      <c r="G19" s="108" t="s">
        <v>368</v>
      </c>
      <c r="H19" s="183"/>
      <c r="I19" s="186"/>
      <c r="J19" s="177"/>
      <c r="K19" s="108" t="s">
        <v>378</v>
      </c>
      <c r="L19" s="203"/>
      <c r="M19" s="108" t="s">
        <v>378</v>
      </c>
      <c r="N19" s="203"/>
      <c r="O19" s="108" t="s">
        <v>379</v>
      </c>
      <c r="P19" s="203"/>
    </row>
    <row r="20" spans="1:16" x14ac:dyDescent="0.15">
      <c r="A20" s="205"/>
      <c r="B20" s="177"/>
      <c r="C20" s="108" t="s">
        <v>371</v>
      </c>
      <c r="D20" s="180"/>
      <c r="E20" s="108" t="s">
        <v>372</v>
      </c>
      <c r="F20" s="180"/>
      <c r="G20" s="108" t="s">
        <v>373</v>
      </c>
      <c r="H20" s="183"/>
      <c r="I20" s="186"/>
      <c r="J20" s="177"/>
      <c r="K20" s="108" t="s">
        <v>174</v>
      </c>
      <c r="L20" s="203"/>
      <c r="M20" s="108" t="s">
        <v>174</v>
      </c>
      <c r="N20" s="203"/>
      <c r="O20" s="108" t="s">
        <v>380</v>
      </c>
      <c r="P20" s="203"/>
    </row>
    <row r="21" spans="1:16" x14ac:dyDescent="0.15">
      <c r="A21" s="205"/>
      <c r="B21" s="207"/>
      <c r="C21" s="108" t="s">
        <v>43</v>
      </c>
      <c r="D21" s="181"/>
      <c r="E21" s="108" t="s">
        <v>43</v>
      </c>
      <c r="F21" s="181"/>
      <c r="G21" s="108"/>
      <c r="H21" s="184"/>
      <c r="I21" s="209"/>
      <c r="J21" s="207"/>
      <c r="K21" s="109" t="s">
        <v>381</v>
      </c>
      <c r="L21" s="204"/>
      <c r="M21" s="109" t="s">
        <v>381</v>
      </c>
      <c r="N21" s="204"/>
      <c r="O21" s="109" t="s">
        <v>382</v>
      </c>
      <c r="P21" s="204"/>
    </row>
    <row r="22" spans="1:16" ht="13.5" customHeight="1" x14ac:dyDescent="0.15">
      <c r="A22" s="173">
        <v>6</v>
      </c>
      <c r="B22" s="176" t="s">
        <v>375</v>
      </c>
      <c r="C22" s="107" t="s">
        <v>325</v>
      </c>
      <c r="D22" s="179" t="s">
        <v>383</v>
      </c>
      <c r="E22" s="107" t="s">
        <v>325</v>
      </c>
      <c r="F22" s="179" t="s">
        <v>383</v>
      </c>
      <c r="G22" s="107" t="s">
        <v>327</v>
      </c>
      <c r="H22" s="182" t="s">
        <v>384</v>
      </c>
      <c r="I22" s="185">
        <v>21</v>
      </c>
      <c r="J22" s="176" t="s">
        <v>385</v>
      </c>
      <c r="K22" s="107" t="s">
        <v>325</v>
      </c>
      <c r="L22" s="179" t="s">
        <v>386</v>
      </c>
      <c r="M22" s="211"/>
      <c r="N22" s="211"/>
      <c r="O22" s="211"/>
      <c r="P22" s="211"/>
    </row>
    <row r="23" spans="1:16" x14ac:dyDescent="0.15">
      <c r="A23" s="205"/>
      <c r="B23" s="177"/>
      <c r="C23" s="108" t="s">
        <v>378</v>
      </c>
      <c r="D23" s="180"/>
      <c r="E23" s="108" t="s">
        <v>378</v>
      </c>
      <c r="F23" s="180"/>
      <c r="G23" s="108" t="s">
        <v>379</v>
      </c>
      <c r="H23" s="183"/>
      <c r="I23" s="186"/>
      <c r="J23" s="177"/>
      <c r="K23" s="108" t="s">
        <v>387</v>
      </c>
      <c r="L23" s="180"/>
      <c r="M23" s="212"/>
      <c r="N23" s="212"/>
      <c r="O23" s="212"/>
      <c r="P23" s="212"/>
    </row>
    <row r="24" spans="1:16" x14ac:dyDescent="0.15">
      <c r="A24" s="205"/>
      <c r="B24" s="177"/>
      <c r="C24" s="108" t="s">
        <v>174</v>
      </c>
      <c r="D24" s="180"/>
      <c r="E24" s="108" t="s">
        <v>174</v>
      </c>
      <c r="F24" s="180"/>
      <c r="G24" s="108" t="s">
        <v>380</v>
      </c>
      <c r="H24" s="183"/>
      <c r="I24" s="186"/>
      <c r="J24" s="177"/>
      <c r="K24" s="108" t="s">
        <v>388</v>
      </c>
      <c r="L24" s="180"/>
      <c r="M24" s="212"/>
      <c r="N24" s="212"/>
      <c r="O24" s="212"/>
      <c r="P24" s="212"/>
    </row>
    <row r="25" spans="1:16" x14ac:dyDescent="0.15">
      <c r="A25" s="210"/>
      <c r="B25" s="178"/>
      <c r="C25" s="109" t="s">
        <v>389</v>
      </c>
      <c r="D25" s="181"/>
      <c r="E25" s="109" t="s">
        <v>389</v>
      </c>
      <c r="F25" s="181"/>
      <c r="G25" s="109" t="s">
        <v>47</v>
      </c>
      <c r="H25" s="184"/>
      <c r="I25" s="187"/>
      <c r="J25" s="178"/>
      <c r="K25" s="109"/>
      <c r="L25" s="181"/>
      <c r="M25" s="213"/>
      <c r="N25" s="213"/>
      <c r="O25" s="213"/>
      <c r="P25" s="213"/>
    </row>
    <row r="26" spans="1:16" ht="13.5" customHeight="1" x14ac:dyDescent="0.15">
      <c r="A26" s="205">
        <v>7</v>
      </c>
      <c r="B26" s="206" t="s">
        <v>385</v>
      </c>
      <c r="C26" s="107" t="s">
        <v>325</v>
      </c>
      <c r="D26" s="179" t="s">
        <v>386</v>
      </c>
      <c r="E26" s="211"/>
      <c r="F26" s="211"/>
      <c r="G26" s="211"/>
      <c r="H26" s="211"/>
      <c r="I26" s="214"/>
      <c r="J26" s="215"/>
      <c r="K26" s="215"/>
      <c r="L26" s="215"/>
      <c r="M26" s="215"/>
      <c r="N26" s="215"/>
      <c r="O26" s="215"/>
      <c r="P26" s="216"/>
    </row>
    <row r="27" spans="1:16" ht="13.5" customHeight="1" x14ac:dyDescent="0.15">
      <c r="A27" s="205"/>
      <c r="B27" s="177"/>
      <c r="C27" s="108" t="s">
        <v>387</v>
      </c>
      <c r="D27" s="180"/>
      <c r="E27" s="212"/>
      <c r="F27" s="212"/>
      <c r="G27" s="212"/>
      <c r="H27" s="212"/>
      <c r="I27" s="217"/>
      <c r="J27" s="218"/>
      <c r="K27" s="218"/>
      <c r="L27" s="218"/>
      <c r="M27" s="218"/>
      <c r="N27" s="218"/>
      <c r="O27" s="218"/>
      <c r="P27" s="219"/>
    </row>
    <row r="28" spans="1:16" ht="13.5" customHeight="1" x14ac:dyDescent="0.15">
      <c r="A28" s="205"/>
      <c r="B28" s="177"/>
      <c r="C28" s="108" t="s">
        <v>388</v>
      </c>
      <c r="D28" s="180"/>
      <c r="E28" s="212"/>
      <c r="F28" s="212"/>
      <c r="G28" s="212"/>
      <c r="H28" s="212"/>
      <c r="I28" s="185">
        <v>23</v>
      </c>
      <c r="J28" s="176" t="s">
        <v>324</v>
      </c>
      <c r="K28" s="108" t="s">
        <v>325</v>
      </c>
      <c r="L28" s="202" t="s">
        <v>390</v>
      </c>
      <c r="M28" s="108" t="s">
        <v>325</v>
      </c>
      <c r="N28" s="202" t="s">
        <v>391</v>
      </c>
      <c r="O28" s="108" t="s">
        <v>327</v>
      </c>
      <c r="P28" s="202" t="s">
        <v>392</v>
      </c>
    </row>
    <row r="29" spans="1:16" ht="13.5" customHeight="1" x14ac:dyDescent="0.15">
      <c r="A29" s="205"/>
      <c r="B29" s="207"/>
      <c r="C29" s="109"/>
      <c r="D29" s="181"/>
      <c r="E29" s="213"/>
      <c r="F29" s="213"/>
      <c r="G29" s="213"/>
      <c r="H29" s="213"/>
      <c r="I29" s="186"/>
      <c r="J29" s="177"/>
      <c r="K29" s="108" t="s">
        <v>393</v>
      </c>
      <c r="L29" s="203"/>
      <c r="M29" s="108" t="s">
        <v>394</v>
      </c>
      <c r="N29" s="203"/>
      <c r="O29" s="108" t="s">
        <v>395</v>
      </c>
      <c r="P29" s="203"/>
    </row>
    <row r="30" spans="1:16" ht="13.5" customHeight="1" x14ac:dyDescent="0.15">
      <c r="A30" s="214"/>
      <c r="B30" s="215"/>
      <c r="C30" s="215"/>
      <c r="D30" s="215"/>
      <c r="E30" s="215"/>
      <c r="F30" s="215"/>
      <c r="G30" s="215"/>
      <c r="H30" s="216"/>
      <c r="I30" s="186"/>
      <c r="J30" s="177"/>
      <c r="K30" s="108" t="s">
        <v>396</v>
      </c>
      <c r="L30" s="203"/>
      <c r="M30" s="108" t="s">
        <v>396</v>
      </c>
      <c r="N30" s="203"/>
      <c r="O30" s="108" t="s">
        <v>397</v>
      </c>
      <c r="P30" s="203"/>
    </row>
    <row r="31" spans="1:16" ht="13.5" customHeight="1" x14ac:dyDescent="0.15">
      <c r="A31" s="217"/>
      <c r="B31" s="218"/>
      <c r="C31" s="218"/>
      <c r="D31" s="218"/>
      <c r="E31" s="218"/>
      <c r="F31" s="218"/>
      <c r="G31" s="218"/>
      <c r="H31" s="219"/>
      <c r="I31" s="187"/>
      <c r="J31" s="178"/>
      <c r="K31" s="108"/>
      <c r="L31" s="204"/>
      <c r="M31" s="108"/>
      <c r="N31" s="204"/>
      <c r="O31" s="108"/>
      <c r="P31" s="204"/>
    </row>
    <row r="32" spans="1:16" ht="13.5" customHeight="1" x14ac:dyDescent="0.15">
      <c r="A32" s="214"/>
      <c r="B32" s="215"/>
      <c r="C32" s="215"/>
      <c r="D32" s="215"/>
      <c r="E32" s="215"/>
      <c r="F32" s="215"/>
      <c r="G32" s="215"/>
      <c r="H32" s="216"/>
      <c r="I32" s="208">
        <v>24</v>
      </c>
      <c r="J32" s="206" t="s">
        <v>329</v>
      </c>
      <c r="K32" s="107" t="s">
        <v>325</v>
      </c>
      <c r="L32" s="202" t="s">
        <v>398</v>
      </c>
      <c r="M32" s="107" t="s">
        <v>325</v>
      </c>
      <c r="N32" s="202" t="s">
        <v>398</v>
      </c>
      <c r="O32" s="107" t="s">
        <v>327</v>
      </c>
      <c r="P32" s="202" t="s">
        <v>399</v>
      </c>
    </row>
    <row r="33" spans="1:16" ht="13.5" customHeight="1" x14ac:dyDescent="0.15">
      <c r="A33" s="217"/>
      <c r="B33" s="218"/>
      <c r="C33" s="218"/>
      <c r="D33" s="218"/>
      <c r="E33" s="218"/>
      <c r="F33" s="218"/>
      <c r="G33" s="218"/>
      <c r="H33" s="219"/>
      <c r="I33" s="186"/>
      <c r="J33" s="177"/>
      <c r="K33" s="108" t="s">
        <v>400</v>
      </c>
      <c r="L33" s="203"/>
      <c r="M33" s="108" t="s">
        <v>400</v>
      </c>
      <c r="N33" s="203"/>
      <c r="O33" s="108" t="s">
        <v>401</v>
      </c>
      <c r="P33" s="203"/>
    </row>
    <row r="34" spans="1:16" ht="13.5" customHeight="1" x14ac:dyDescent="0.15">
      <c r="A34" s="173">
        <v>10</v>
      </c>
      <c r="B34" s="176" t="s">
        <v>329</v>
      </c>
      <c r="C34" s="107" t="s">
        <v>325</v>
      </c>
      <c r="D34" s="179" t="s">
        <v>402</v>
      </c>
      <c r="E34" s="107" t="s">
        <v>325</v>
      </c>
      <c r="F34" s="179" t="s">
        <v>402</v>
      </c>
      <c r="G34" s="107" t="s">
        <v>327</v>
      </c>
      <c r="H34" s="182" t="s">
        <v>399</v>
      </c>
      <c r="I34" s="186"/>
      <c r="J34" s="177"/>
      <c r="K34" s="108" t="s">
        <v>403</v>
      </c>
      <c r="L34" s="203"/>
      <c r="M34" s="108" t="s">
        <v>403</v>
      </c>
      <c r="N34" s="203"/>
      <c r="O34" s="108" t="s">
        <v>404</v>
      </c>
      <c r="P34" s="203"/>
    </row>
    <row r="35" spans="1:16" ht="13.5" customHeight="1" x14ac:dyDescent="0.15">
      <c r="A35" s="205"/>
      <c r="B35" s="177"/>
      <c r="C35" s="108" t="s">
        <v>400</v>
      </c>
      <c r="D35" s="180"/>
      <c r="E35" s="108" t="s">
        <v>400</v>
      </c>
      <c r="F35" s="180"/>
      <c r="G35" s="108" t="s">
        <v>401</v>
      </c>
      <c r="H35" s="183"/>
      <c r="I35" s="209"/>
      <c r="J35" s="207"/>
      <c r="K35" s="109" t="s">
        <v>43</v>
      </c>
      <c r="L35" s="204"/>
      <c r="M35" s="109" t="s">
        <v>43</v>
      </c>
      <c r="N35" s="204"/>
      <c r="O35" s="109"/>
      <c r="P35" s="204"/>
    </row>
    <row r="36" spans="1:16" ht="13.5" customHeight="1" x14ac:dyDescent="0.15">
      <c r="A36" s="205"/>
      <c r="B36" s="177"/>
      <c r="C36" s="108" t="s">
        <v>403</v>
      </c>
      <c r="D36" s="180"/>
      <c r="E36" s="108" t="s">
        <v>403</v>
      </c>
      <c r="F36" s="180"/>
      <c r="G36" s="108" t="s">
        <v>404</v>
      </c>
      <c r="H36" s="183"/>
      <c r="I36" s="185">
        <v>25</v>
      </c>
      <c r="J36" s="176" t="s">
        <v>53</v>
      </c>
      <c r="K36" s="108" t="s">
        <v>325</v>
      </c>
      <c r="L36" s="202" t="s">
        <v>405</v>
      </c>
      <c r="M36" s="108" t="s">
        <v>325</v>
      </c>
      <c r="N36" s="202" t="s">
        <v>406</v>
      </c>
      <c r="O36" s="108" t="s">
        <v>327</v>
      </c>
      <c r="P36" s="202" t="s">
        <v>407</v>
      </c>
    </row>
    <row r="37" spans="1:16" ht="13.5" customHeight="1" x14ac:dyDescent="0.15">
      <c r="A37" s="210"/>
      <c r="B37" s="178"/>
      <c r="C37" s="109" t="s">
        <v>43</v>
      </c>
      <c r="D37" s="181"/>
      <c r="E37" s="109" t="s">
        <v>43</v>
      </c>
      <c r="F37" s="181"/>
      <c r="G37" s="109"/>
      <c r="H37" s="184"/>
      <c r="I37" s="186"/>
      <c r="J37" s="177"/>
      <c r="K37" s="108" t="s">
        <v>408</v>
      </c>
      <c r="L37" s="203"/>
      <c r="M37" s="108" t="s">
        <v>409</v>
      </c>
      <c r="N37" s="203"/>
      <c r="O37" s="108" t="s">
        <v>410</v>
      </c>
      <c r="P37" s="203"/>
    </row>
    <row r="38" spans="1:16" ht="13.5" customHeight="1" x14ac:dyDescent="0.15">
      <c r="A38" s="205">
        <v>11</v>
      </c>
      <c r="B38" s="206" t="s">
        <v>53</v>
      </c>
      <c r="C38" s="108" t="s">
        <v>325</v>
      </c>
      <c r="D38" s="179" t="s">
        <v>411</v>
      </c>
      <c r="E38" s="108" t="s">
        <v>325</v>
      </c>
      <c r="F38" s="179" t="s">
        <v>412</v>
      </c>
      <c r="G38" s="108" t="s">
        <v>327</v>
      </c>
      <c r="H38" s="182" t="s">
        <v>413</v>
      </c>
      <c r="I38" s="186"/>
      <c r="J38" s="177"/>
      <c r="K38" s="108" t="s">
        <v>414</v>
      </c>
      <c r="L38" s="203"/>
      <c r="M38" s="108" t="s">
        <v>414</v>
      </c>
      <c r="N38" s="203"/>
      <c r="O38" s="108" t="s">
        <v>415</v>
      </c>
      <c r="P38" s="203"/>
    </row>
    <row r="39" spans="1:16" x14ac:dyDescent="0.15">
      <c r="A39" s="205"/>
      <c r="B39" s="177"/>
      <c r="C39" s="108" t="s">
        <v>408</v>
      </c>
      <c r="D39" s="180"/>
      <c r="E39" s="108" t="s">
        <v>409</v>
      </c>
      <c r="F39" s="180"/>
      <c r="G39" s="108" t="s">
        <v>410</v>
      </c>
      <c r="H39" s="183"/>
      <c r="I39" s="187"/>
      <c r="J39" s="178"/>
      <c r="K39" s="108" t="s">
        <v>264</v>
      </c>
      <c r="L39" s="204"/>
      <c r="M39" s="108" t="s">
        <v>264</v>
      </c>
      <c r="N39" s="204"/>
      <c r="O39" s="108"/>
      <c r="P39" s="204"/>
    </row>
    <row r="40" spans="1:16" x14ac:dyDescent="0.15">
      <c r="A40" s="205"/>
      <c r="B40" s="177"/>
      <c r="C40" s="108" t="s">
        <v>414</v>
      </c>
      <c r="D40" s="180"/>
      <c r="E40" s="108" t="s">
        <v>414</v>
      </c>
      <c r="F40" s="180"/>
      <c r="G40" s="108" t="s">
        <v>337</v>
      </c>
      <c r="H40" s="183"/>
      <c r="I40" s="208">
        <v>26</v>
      </c>
      <c r="J40" s="206" t="s">
        <v>360</v>
      </c>
      <c r="K40" s="107" t="s">
        <v>416</v>
      </c>
      <c r="L40" s="202" t="s">
        <v>417</v>
      </c>
      <c r="M40" s="107" t="s">
        <v>416</v>
      </c>
      <c r="N40" s="202" t="s">
        <v>417</v>
      </c>
      <c r="O40" s="107" t="s">
        <v>418</v>
      </c>
      <c r="P40" s="202" t="s">
        <v>419</v>
      </c>
    </row>
    <row r="41" spans="1:16" x14ac:dyDescent="0.15">
      <c r="A41" s="205"/>
      <c r="B41" s="207"/>
      <c r="C41" s="108" t="s">
        <v>96</v>
      </c>
      <c r="D41" s="181"/>
      <c r="E41" s="108" t="s">
        <v>96</v>
      </c>
      <c r="F41" s="181"/>
      <c r="G41" s="108"/>
      <c r="H41" s="184"/>
      <c r="I41" s="186"/>
      <c r="J41" s="177"/>
      <c r="K41" s="108" t="s">
        <v>420</v>
      </c>
      <c r="L41" s="203"/>
      <c r="M41" s="108" t="s">
        <v>420</v>
      </c>
      <c r="N41" s="203"/>
      <c r="O41" s="108" t="s">
        <v>421</v>
      </c>
      <c r="P41" s="203"/>
    </row>
    <row r="42" spans="1:16" ht="13.5" customHeight="1" x14ac:dyDescent="0.15">
      <c r="A42" s="220">
        <v>12</v>
      </c>
      <c r="B42" s="176" t="s">
        <v>360</v>
      </c>
      <c r="C42" s="107" t="s">
        <v>416</v>
      </c>
      <c r="D42" s="179" t="s">
        <v>422</v>
      </c>
      <c r="E42" s="107" t="s">
        <v>416</v>
      </c>
      <c r="F42" s="179" t="s">
        <v>422</v>
      </c>
      <c r="G42" s="107" t="s">
        <v>418</v>
      </c>
      <c r="H42" s="182" t="s">
        <v>423</v>
      </c>
      <c r="I42" s="186"/>
      <c r="J42" s="177"/>
      <c r="K42" s="108" t="s">
        <v>164</v>
      </c>
      <c r="L42" s="203"/>
      <c r="M42" s="108" t="s">
        <v>164</v>
      </c>
      <c r="N42" s="203"/>
      <c r="O42" s="108" t="s">
        <v>424</v>
      </c>
      <c r="P42" s="203"/>
    </row>
    <row r="43" spans="1:16" x14ac:dyDescent="0.15">
      <c r="A43" s="205"/>
      <c r="B43" s="177"/>
      <c r="C43" s="108" t="s">
        <v>420</v>
      </c>
      <c r="D43" s="180"/>
      <c r="E43" s="108" t="s">
        <v>420</v>
      </c>
      <c r="F43" s="180"/>
      <c r="G43" s="108" t="s">
        <v>421</v>
      </c>
      <c r="H43" s="183"/>
      <c r="I43" s="209"/>
      <c r="J43" s="207"/>
      <c r="K43" s="109" t="s">
        <v>260</v>
      </c>
      <c r="L43" s="204"/>
      <c r="M43" s="109" t="s">
        <v>260</v>
      </c>
      <c r="N43" s="204"/>
      <c r="O43" s="109" t="s">
        <v>382</v>
      </c>
      <c r="P43" s="204"/>
    </row>
    <row r="44" spans="1:16" x14ac:dyDescent="0.15">
      <c r="A44" s="205"/>
      <c r="B44" s="177"/>
      <c r="C44" s="108" t="s">
        <v>164</v>
      </c>
      <c r="D44" s="180"/>
      <c r="E44" s="108" t="s">
        <v>164</v>
      </c>
      <c r="F44" s="180"/>
      <c r="G44" s="108" t="s">
        <v>425</v>
      </c>
      <c r="H44" s="183"/>
      <c r="I44" s="185">
        <v>27</v>
      </c>
      <c r="J44" s="176" t="s">
        <v>375</v>
      </c>
      <c r="K44" s="108" t="s">
        <v>325</v>
      </c>
      <c r="L44" s="202" t="s">
        <v>426</v>
      </c>
      <c r="M44" s="108" t="s">
        <v>325</v>
      </c>
      <c r="N44" s="202" t="s">
        <v>426</v>
      </c>
      <c r="O44" s="108" t="s">
        <v>327</v>
      </c>
      <c r="P44" s="202" t="s">
        <v>427</v>
      </c>
    </row>
    <row r="45" spans="1:16" x14ac:dyDescent="0.15">
      <c r="A45" s="210"/>
      <c r="B45" s="178"/>
      <c r="C45" s="109"/>
      <c r="D45" s="181"/>
      <c r="E45" s="109"/>
      <c r="F45" s="181"/>
      <c r="G45" s="109"/>
      <c r="H45" s="184"/>
      <c r="I45" s="186"/>
      <c r="J45" s="177"/>
      <c r="K45" s="108" t="s">
        <v>428</v>
      </c>
      <c r="L45" s="203"/>
      <c r="M45" s="108" t="s">
        <v>428</v>
      </c>
      <c r="N45" s="203"/>
      <c r="O45" s="108" t="s">
        <v>429</v>
      </c>
      <c r="P45" s="203"/>
    </row>
    <row r="46" spans="1:16" ht="13.5" customHeight="1" x14ac:dyDescent="0.15">
      <c r="A46" s="221">
        <v>13</v>
      </c>
      <c r="B46" s="206" t="s">
        <v>375</v>
      </c>
      <c r="C46" s="108" t="s">
        <v>325</v>
      </c>
      <c r="D46" s="179" t="s">
        <v>430</v>
      </c>
      <c r="E46" s="108" t="s">
        <v>325</v>
      </c>
      <c r="F46" s="179" t="s">
        <v>430</v>
      </c>
      <c r="G46" s="108" t="s">
        <v>327</v>
      </c>
      <c r="H46" s="182" t="s">
        <v>431</v>
      </c>
      <c r="I46" s="186"/>
      <c r="J46" s="177"/>
      <c r="K46" s="108" t="s">
        <v>432</v>
      </c>
      <c r="L46" s="203"/>
      <c r="M46" s="108" t="s">
        <v>432</v>
      </c>
      <c r="N46" s="203"/>
      <c r="O46" s="108" t="s">
        <v>433</v>
      </c>
      <c r="P46" s="203"/>
    </row>
    <row r="47" spans="1:16" x14ac:dyDescent="0.15">
      <c r="A47" s="205"/>
      <c r="B47" s="177"/>
      <c r="C47" s="108" t="s">
        <v>428</v>
      </c>
      <c r="D47" s="180"/>
      <c r="E47" s="108" t="s">
        <v>428</v>
      </c>
      <c r="F47" s="180"/>
      <c r="G47" s="108" t="s">
        <v>429</v>
      </c>
      <c r="H47" s="183"/>
      <c r="I47" s="187"/>
      <c r="J47" s="178"/>
      <c r="K47" s="108" t="s">
        <v>434</v>
      </c>
      <c r="L47" s="204"/>
      <c r="M47" s="108" t="s">
        <v>434</v>
      </c>
      <c r="N47" s="204"/>
      <c r="O47" s="108" t="s">
        <v>374</v>
      </c>
      <c r="P47" s="204"/>
    </row>
    <row r="48" spans="1:16" x14ac:dyDescent="0.15">
      <c r="A48" s="205"/>
      <c r="B48" s="177"/>
      <c r="C48" s="108" t="s">
        <v>432</v>
      </c>
      <c r="D48" s="180"/>
      <c r="E48" s="108" t="s">
        <v>432</v>
      </c>
      <c r="F48" s="180"/>
      <c r="G48" s="108" t="s">
        <v>433</v>
      </c>
      <c r="H48" s="183"/>
      <c r="I48" s="208">
        <v>28</v>
      </c>
      <c r="J48" s="206" t="s">
        <v>385</v>
      </c>
      <c r="K48" s="107" t="s">
        <v>325</v>
      </c>
      <c r="L48" s="179" t="s">
        <v>386</v>
      </c>
      <c r="M48" s="107" t="s">
        <v>325</v>
      </c>
      <c r="N48" s="179" t="s">
        <v>386</v>
      </c>
      <c r="O48" s="211"/>
      <c r="P48" s="211"/>
    </row>
    <row r="49" spans="1:16" x14ac:dyDescent="0.15">
      <c r="A49" s="205"/>
      <c r="B49" s="207"/>
      <c r="C49" s="108" t="s">
        <v>43</v>
      </c>
      <c r="D49" s="181"/>
      <c r="E49" s="108" t="s">
        <v>43</v>
      </c>
      <c r="F49" s="181"/>
      <c r="G49" s="108"/>
      <c r="H49" s="184"/>
      <c r="I49" s="186"/>
      <c r="J49" s="177"/>
      <c r="K49" s="108" t="s">
        <v>387</v>
      </c>
      <c r="L49" s="180"/>
      <c r="M49" s="108" t="s">
        <v>387</v>
      </c>
      <c r="N49" s="180"/>
      <c r="O49" s="212"/>
      <c r="P49" s="212"/>
    </row>
    <row r="50" spans="1:16" ht="13.5" customHeight="1" x14ac:dyDescent="0.15">
      <c r="A50" s="173">
        <v>14</v>
      </c>
      <c r="B50" s="176" t="s">
        <v>385</v>
      </c>
      <c r="C50" s="107" t="s">
        <v>325</v>
      </c>
      <c r="D50" s="179" t="s">
        <v>386</v>
      </c>
      <c r="E50" s="211"/>
      <c r="F50" s="211"/>
      <c r="G50" s="211"/>
      <c r="H50" s="211"/>
      <c r="I50" s="186"/>
      <c r="J50" s="177"/>
      <c r="K50" s="108" t="s">
        <v>388</v>
      </c>
      <c r="L50" s="180"/>
      <c r="M50" s="108" t="s">
        <v>388</v>
      </c>
      <c r="N50" s="180"/>
      <c r="O50" s="212"/>
      <c r="P50" s="212"/>
    </row>
    <row r="51" spans="1:16" x14ac:dyDescent="0.15">
      <c r="A51" s="205"/>
      <c r="B51" s="177"/>
      <c r="C51" s="108" t="s">
        <v>387</v>
      </c>
      <c r="D51" s="180"/>
      <c r="E51" s="212"/>
      <c r="F51" s="212"/>
      <c r="G51" s="212"/>
      <c r="H51" s="212"/>
      <c r="I51" s="209"/>
      <c r="J51" s="207"/>
      <c r="K51" s="109"/>
      <c r="L51" s="181"/>
      <c r="M51" s="109"/>
      <c r="N51" s="181"/>
      <c r="O51" s="213"/>
      <c r="P51" s="213"/>
    </row>
    <row r="52" spans="1:16" x14ac:dyDescent="0.15">
      <c r="A52" s="205"/>
      <c r="B52" s="177"/>
      <c r="C52" s="108" t="s">
        <v>388</v>
      </c>
      <c r="D52" s="180"/>
      <c r="E52" s="212"/>
      <c r="F52" s="212"/>
      <c r="G52" s="212"/>
      <c r="H52" s="212"/>
      <c r="I52" s="214"/>
      <c r="J52" s="215"/>
      <c r="K52" s="215"/>
      <c r="L52" s="215"/>
      <c r="M52" s="215"/>
      <c r="N52" s="215"/>
      <c r="O52" s="215"/>
      <c r="P52" s="216"/>
    </row>
    <row r="53" spans="1:16" x14ac:dyDescent="0.15">
      <c r="A53" s="210"/>
      <c r="B53" s="178"/>
      <c r="C53" s="109"/>
      <c r="D53" s="181"/>
      <c r="E53" s="213"/>
      <c r="F53" s="213"/>
      <c r="G53" s="213"/>
      <c r="H53" s="213"/>
      <c r="I53" s="217"/>
      <c r="J53" s="218"/>
      <c r="K53" s="218"/>
      <c r="L53" s="218"/>
      <c r="M53" s="218"/>
      <c r="N53" s="218"/>
      <c r="O53" s="218"/>
      <c r="P53" s="219"/>
    </row>
    <row r="54" spans="1:16" ht="13.5" customHeight="1" x14ac:dyDescent="0.15">
      <c r="A54" s="214"/>
      <c r="B54" s="215"/>
      <c r="C54" s="215"/>
      <c r="D54" s="215"/>
      <c r="E54" s="215"/>
      <c r="F54" s="215"/>
      <c r="G54" s="215"/>
      <c r="H54" s="216"/>
      <c r="I54" s="208">
        <v>30</v>
      </c>
      <c r="J54" s="206" t="s">
        <v>324</v>
      </c>
      <c r="K54" s="107" t="s">
        <v>325</v>
      </c>
      <c r="L54" s="202" t="s">
        <v>326</v>
      </c>
      <c r="M54" s="107" t="s">
        <v>325</v>
      </c>
      <c r="N54" s="202" t="s">
        <v>326</v>
      </c>
      <c r="O54" s="107" t="s">
        <v>327</v>
      </c>
      <c r="P54" s="202" t="s">
        <v>328</v>
      </c>
    </row>
    <row r="55" spans="1:16" ht="13.5" customHeight="1" x14ac:dyDescent="0.15">
      <c r="A55" s="217"/>
      <c r="B55" s="218"/>
      <c r="C55" s="218"/>
      <c r="D55" s="218"/>
      <c r="E55" s="218"/>
      <c r="F55" s="218"/>
      <c r="G55" s="218"/>
      <c r="H55" s="219"/>
      <c r="I55" s="186"/>
      <c r="J55" s="177"/>
      <c r="K55" s="108" t="s">
        <v>333</v>
      </c>
      <c r="L55" s="203"/>
      <c r="M55" s="108" t="s">
        <v>333</v>
      </c>
      <c r="N55" s="203"/>
      <c r="O55" s="108" t="s">
        <v>334</v>
      </c>
      <c r="P55" s="203"/>
    </row>
    <row r="56" spans="1:16" ht="13.5" customHeight="1" x14ac:dyDescent="0.15">
      <c r="A56" s="185">
        <v>16</v>
      </c>
      <c r="B56" s="176" t="s">
        <v>324</v>
      </c>
      <c r="C56" s="107" t="s">
        <v>325</v>
      </c>
      <c r="D56" s="202" t="s">
        <v>435</v>
      </c>
      <c r="E56" s="107" t="s">
        <v>325</v>
      </c>
      <c r="F56" s="202" t="s">
        <v>435</v>
      </c>
      <c r="G56" s="107" t="s">
        <v>327</v>
      </c>
      <c r="H56" s="202" t="s">
        <v>436</v>
      </c>
      <c r="I56" s="186"/>
      <c r="J56" s="177"/>
      <c r="K56" s="108" t="s">
        <v>338</v>
      </c>
      <c r="L56" s="203"/>
      <c r="M56" s="108" t="s">
        <v>338</v>
      </c>
      <c r="N56" s="203"/>
      <c r="O56" s="108" t="s">
        <v>339</v>
      </c>
      <c r="P56" s="203"/>
    </row>
    <row r="57" spans="1:16" ht="13.5" customHeight="1" x14ac:dyDescent="0.15">
      <c r="A57" s="186"/>
      <c r="B57" s="177"/>
      <c r="C57" s="108" t="s">
        <v>333</v>
      </c>
      <c r="D57" s="203"/>
      <c r="E57" s="108" t="s">
        <v>333</v>
      </c>
      <c r="F57" s="203"/>
      <c r="G57" s="108" t="s">
        <v>334</v>
      </c>
      <c r="H57" s="203"/>
      <c r="I57" s="209"/>
      <c r="J57" s="207"/>
      <c r="K57" s="109" t="s">
        <v>343</v>
      </c>
      <c r="L57" s="204"/>
      <c r="M57" s="109" t="s">
        <v>343</v>
      </c>
      <c r="N57" s="204"/>
      <c r="O57" s="109" t="s">
        <v>88</v>
      </c>
      <c r="P57" s="204"/>
    </row>
    <row r="58" spans="1:16" ht="13.5" customHeight="1" x14ac:dyDescent="0.15">
      <c r="A58" s="186"/>
      <c r="B58" s="177"/>
      <c r="C58" s="108" t="s">
        <v>338</v>
      </c>
      <c r="D58" s="203"/>
      <c r="E58" s="108" t="s">
        <v>338</v>
      </c>
      <c r="F58" s="203"/>
      <c r="G58" s="108" t="s">
        <v>437</v>
      </c>
      <c r="H58" s="203"/>
      <c r="I58" s="185">
        <v>31</v>
      </c>
      <c r="J58" s="185" t="s">
        <v>329</v>
      </c>
      <c r="K58" s="107" t="s">
        <v>325</v>
      </c>
      <c r="L58" s="202" t="s">
        <v>344</v>
      </c>
      <c r="M58" s="107" t="s">
        <v>325</v>
      </c>
      <c r="N58" s="202" t="s">
        <v>345</v>
      </c>
      <c r="O58" s="107" t="s">
        <v>327</v>
      </c>
      <c r="P58" s="202" t="s">
        <v>346</v>
      </c>
    </row>
    <row r="59" spans="1:16" ht="13.5" customHeight="1" x14ac:dyDescent="0.15">
      <c r="A59" s="187"/>
      <c r="B59" s="178"/>
      <c r="C59" s="109" t="s">
        <v>43</v>
      </c>
      <c r="D59" s="204"/>
      <c r="E59" s="109" t="s">
        <v>43</v>
      </c>
      <c r="F59" s="204"/>
      <c r="G59" s="109"/>
      <c r="H59" s="204"/>
      <c r="I59" s="186"/>
      <c r="J59" s="222"/>
      <c r="K59" s="108" t="s">
        <v>350</v>
      </c>
      <c r="L59" s="203"/>
      <c r="M59" s="108" t="s">
        <v>351</v>
      </c>
      <c r="N59" s="203"/>
      <c r="O59" s="108" t="s">
        <v>352</v>
      </c>
      <c r="P59" s="203"/>
    </row>
    <row r="60" spans="1:16" ht="13.5" customHeight="1" x14ac:dyDescent="0.15">
      <c r="I60" s="186"/>
      <c r="J60" s="222"/>
      <c r="K60" s="108" t="s">
        <v>340</v>
      </c>
      <c r="L60" s="203"/>
      <c r="M60" s="108" t="s">
        <v>341</v>
      </c>
      <c r="N60" s="203"/>
      <c r="O60" s="108" t="s">
        <v>342</v>
      </c>
      <c r="P60" s="203"/>
    </row>
    <row r="61" spans="1:16" ht="13.5" customHeight="1" x14ac:dyDescent="0.15">
      <c r="I61" s="187"/>
      <c r="J61" s="223"/>
      <c r="K61" s="109"/>
      <c r="L61" s="204"/>
      <c r="M61" s="109"/>
      <c r="N61" s="204"/>
      <c r="O61" s="109"/>
      <c r="P61" s="204"/>
    </row>
    <row r="62" spans="1:16" ht="13.5" customHeight="1" x14ac:dyDescent="0.15"/>
  </sheetData>
  <mergeCells count="147">
    <mergeCell ref="P58:P61"/>
    <mergeCell ref="B56:B59"/>
    <mergeCell ref="D56:D59"/>
    <mergeCell ref="F56:F59"/>
    <mergeCell ref="H56:H59"/>
    <mergeCell ref="I58:I61"/>
    <mergeCell ref="J58:J61"/>
    <mergeCell ref="H46:H49"/>
    <mergeCell ref="I48:I51"/>
    <mergeCell ref="G50:G53"/>
    <mergeCell ref="H50:H53"/>
    <mergeCell ref="I52:P53"/>
    <mergeCell ref="A54:H55"/>
    <mergeCell ref="I54:I57"/>
    <mergeCell ref="J54:J57"/>
    <mergeCell ref="L54:L57"/>
    <mergeCell ref="N54:N57"/>
    <mergeCell ref="P54:P57"/>
    <mergeCell ref="A56:A59"/>
    <mergeCell ref="J48:J51"/>
    <mergeCell ref="L48:L51"/>
    <mergeCell ref="N48:N51"/>
    <mergeCell ref="O48:O51"/>
    <mergeCell ref="P48:P51"/>
    <mergeCell ref="A50:A53"/>
    <mergeCell ref="B50:B53"/>
    <mergeCell ref="D50:D53"/>
    <mergeCell ref="E50:E53"/>
    <mergeCell ref="F50:F53"/>
    <mergeCell ref="L58:L61"/>
    <mergeCell ref="N58:N61"/>
    <mergeCell ref="J40:J43"/>
    <mergeCell ref="L40:L43"/>
    <mergeCell ref="N40:N43"/>
    <mergeCell ref="P40:P43"/>
    <mergeCell ref="A42:A45"/>
    <mergeCell ref="B42:B45"/>
    <mergeCell ref="D42:D45"/>
    <mergeCell ref="F42:F45"/>
    <mergeCell ref="H42:H45"/>
    <mergeCell ref="I44:I47"/>
    <mergeCell ref="A38:A41"/>
    <mergeCell ref="B38:B41"/>
    <mergeCell ref="D38:D41"/>
    <mergeCell ref="F38:F41"/>
    <mergeCell ref="H38:H41"/>
    <mergeCell ref="I40:I43"/>
    <mergeCell ref="J44:J47"/>
    <mergeCell ref="L44:L47"/>
    <mergeCell ref="N44:N47"/>
    <mergeCell ref="P44:P47"/>
    <mergeCell ref="A46:A49"/>
    <mergeCell ref="B46:B49"/>
    <mergeCell ref="D46:D49"/>
    <mergeCell ref="F46:F49"/>
    <mergeCell ref="H34:H37"/>
    <mergeCell ref="I36:I39"/>
    <mergeCell ref="J36:J39"/>
    <mergeCell ref="L36:L39"/>
    <mergeCell ref="N36:N39"/>
    <mergeCell ref="P36:P39"/>
    <mergeCell ref="A32:H33"/>
    <mergeCell ref="I32:I35"/>
    <mergeCell ref="J32:J35"/>
    <mergeCell ref="L32:L35"/>
    <mergeCell ref="N32:N35"/>
    <mergeCell ref="P32:P35"/>
    <mergeCell ref="A34:A37"/>
    <mergeCell ref="B34:B37"/>
    <mergeCell ref="D34:D37"/>
    <mergeCell ref="F34:F37"/>
    <mergeCell ref="O22:O25"/>
    <mergeCell ref="P22:P25"/>
    <mergeCell ref="J18:J21"/>
    <mergeCell ref="L18:L21"/>
    <mergeCell ref="N18:N21"/>
    <mergeCell ref="P18:P21"/>
    <mergeCell ref="H26:H29"/>
    <mergeCell ref="I26:P27"/>
    <mergeCell ref="I28:I31"/>
    <mergeCell ref="J28:J31"/>
    <mergeCell ref="L28:L31"/>
    <mergeCell ref="N28:N31"/>
    <mergeCell ref="P28:P31"/>
    <mergeCell ref="A30:H31"/>
    <mergeCell ref="A26:A29"/>
    <mergeCell ref="B26:B29"/>
    <mergeCell ref="D26:D29"/>
    <mergeCell ref="E26:E29"/>
    <mergeCell ref="F26:F29"/>
    <mergeCell ref="G26:G29"/>
    <mergeCell ref="A22:A25"/>
    <mergeCell ref="B22:B25"/>
    <mergeCell ref="D22:D25"/>
    <mergeCell ref="F22:F25"/>
    <mergeCell ref="H22:H25"/>
    <mergeCell ref="I22:I25"/>
    <mergeCell ref="J14:J17"/>
    <mergeCell ref="L14:L17"/>
    <mergeCell ref="N14:N17"/>
    <mergeCell ref="J22:J25"/>
    <mergeCell ref="L22:L25"/>
    <mergeCell ref="M22:M25"/>
    <mergeCell ref="N22:N25"/>
    <mergeCell ref="A10:A13"/>
    <mergeCell ref="B10:B13"/>
    <mergeCell ref="D10:D13"/>
    <mergeCell ref="F10:F13"/>
    <mergeCell ref="H10:H13"/>
    <mergeCell ref="I10:I13"/>
    <mergeCell ref="P14:P17"/>
    <mergeCell ref="A18:A21"/>
    <mergeCell ref="B18:B21"/>
    <mergeCell ref="D18:D21"/>
    <mergeCell ref="F18:F21"/>
    <mergeCell ref="H18:H21"/>
    <mergeCell ref="I18:I21"/>
    <mergeCell ref="J10:J13"/>
    <mergeCell ref="L10:L13"/>
    <mergeCell ref="N10:N13"/>
    <mergeCell ref="P10:P13"/>
    <mergeCell ref="A14:A17"/>
    <mergeCell ref="B14:B17"/>
    <mergeCell ref="D14:D17"/>
    <mergeCell ref="F14:F17"/>
    <mergeCell ref="H14:H17"/>
    <mergeCell ref="I14:I17"/>
    <mergeCell ref="J2:J5"/>
    <mergeCell ref="K2:L4"/>
    <mergeCell ref="M2:N4"/>
    <mergeCell ref="O2:P4"/>
    <mergeCell ref="A6:A9"/>
    <mergeCell ref="B6:B9"/>
    <mergeCell ref="D6:D9"/>
    <mergeCell ref="F6:F9"/>
    <mergeCell ref="H6:H9"/>
    <mergeCell ref="I6:I9"/>
    <mergeCell ref="A2:A5"/>
    <mergeCell ref="B2:B5"/>
    <mergeCell ref="C2:D4"/>
    <mergeCell ref="E2:F4"/>
    <mergeCell ref="G2:H4"/>
    <mergeCell ref="I2:I5"/>
    <mergeCell ref="J6:J9"/>
    <mergeCell ref="L6:L9"/>
    <mergeCell ref="N6:N9"/>
    <mergeCell ref="P6:P9"/>
  </mergeCells>
  <phoneticPr fontId="22"/>
  <printOptions horizontalCentered="1" verticalCentered="1"/>
  <pageMargins left="0" right="0" top="0" bottom="0" header="0.19685039370078741" footer="0.19685039370078741"/>
  <pageSetup paperSize="12" scale="76" orientation="landscape" r:id="rId1"/>
  <headerFooter alignWithMargins="0"/>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665B6-74F6-4B7D-B7A4-C547A2E6CDCA}">
  <sheetPr>
    <pageSetUpPr fitToPage="1"/>
  </sheetPr>
  <dimension ref="A1:U58"/>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231</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428</v>
      </c>
      <c r="C13" s="120" t="s">
        <v>182</v>
      </c>
      <c r="D13" s="120" t="s">
        <v>78</v>
      </c>
      <c r="E13" s="61"/>
      <c r="F13" s="61"/>
      <c r="G13" s="120"/>
      <c r="H13" s="129">
        <v>0.7</v>
      </c>
      <c r="I13" s="120" t="s">
        <v>428</v>
      </c>
      <c r="J13" s="120" t="s">
        <v>182</v>
      </c>
      <c r="K13" s="129">
        <v>0.3</v>
      </c>
      <c r="L13" s="120" t="s">
        <v>429</v>
      </c>
      <c r="M13" s="120" t="s">
        <v>182</v>
      </c>
      <c r="N13" s="128">
        <v>0.2</v>
      </c>
      <c r="O13" s="118" t="s">
        <v>78</v>
      </c>
    </row>
    <row r="14" spans="1:21" ht="14.25" x14ac:dyDescent="0.15">
      <c r="A14" s="255"/>
      <c r="B14" s="120"/>
      <c r="C14" s="120" t="s">
        <v>30</v>
      </c>
      <c r="D14" s="120"/>
      <c r="E14" s="61"/>
      <c r="F14" s="61"/>
      <c r="G14" s="120"/>
      <c r="H14" s="119">
        <v>10</v>
      </c>
      <c r="I14" s="120"/>
      <c r="J14" s="120" t="s">
        <v>30</v>
      </c>
      <c r="K14" s="119">
        <v>5</v>
      </c>
      <c r="L14" s="120"/>
      <c r="M14" s="120" t="s">
        <v>30</v>
      </c>
      <c r="N14" s="119">
        <v>5</v>
      </c>
      <c r="O14" s="118"/>
    </row>
    <row r="15" spans="1:21" ht="14.25" x14ac:dyDescent="0.15">
      <c r="A15" s="255"/>
      <c r="B15" s="120"/>
      <c r="C15" s="120" t="s">
        <v>29</v>
      </c>
      <c r="D15" s="120"/>
      <c r="E15" s="61"/>
      <c r="F15" s="61"/>
      <c r="G15" s="120"/>
      <c r="H15" s="119">
        <v>10</v>
      </c>
      <c r="I15" s="120"/>
      <c r="J15" s="120" t="s">
        <v>29</v>
      </c>
      <c r="K15" s="119">
        <v>10</v>
      </c>
      <c r="L15" s="120"/>
      <c r="M15" s="120" t="s">
        <v>29</v>
      </c>
      <c r="N15" s="119">
        <v>10</v>
      </c>
      <c r="O15" s="118"/>
    </row>
    <row r="16" spans="1:21" ht="14.25" x14ac:dyDescent="0.15">
      <c r="A16" s="255"/>
      <c r="B16" s="120"/>
      <c r="C16" s="120"/>
      <c r="D16" s="120"/>
      <c r="E16" s="61"/>
      <c r="F16" s="61"/>
      <c r="G16" s="120" t="s">
        <v>32</v>
      </c>
      <c r="H16" s="119" t="s">
        <v>439</v>
      </c>
      <c r="I16" s="120"/>
      <c r="J16" s="120"/>
      <c r="K16" s="119"/>
      <c r="L16" s="123"/>
      <c r="M16" s="123"/>
      <c r="N16" s="122"/>
      <c r="O16" s="126"/>
    </row>
    <row r="17" spans="1:15" ht="14.25" x14ac:dyDescent="0.15">
      <c r="A17" s="255"/>
      <c r="B17" s="123"/>
      <c r="C17" s="123"/>
      <c r="D17" s="123"/>
      <c r="E17" s="55"/>
      <c r="F17" s="55"/>
      <c r="G17" s="123"/>
      <c r="H17" s="122"/>
      <c r="I17" s="123"/>
      <c r="J17" s="123"/>
      <c r="K17" s="122"/>
      <c r="L17" s="120" t="s">
        <v>433</v>
      </c>
      <c r="M17" s="120" t="s">
        <v>66</v>
      </c>
      <c r="N17" s="119">
        <v>10</v>
      </c>
      <c r="O17" s="118"/>
    </row>
    <row r="18" spans="1:15" ht="14.25" x14ac:dyDescent="0.15">
      <c r="A18" s="255"/>
      <c r="B18" s="120" t="s">
        <v>432</v>
      </c>
      <c r="C18" s="120" t="s">
        <v>156</v>
      </c>
      <c r="D18" s="120"/>
      <c r="E18" s="61"/>
      <c r="F18" s="61"/>
      <c r="G18" s="120"/>
      <c r="H18" s="119">
        <v>10</v>
      </c>
      <c r="I18" s="120" t="s">
        <v>432</v>
      </c>
      <c r="J18" s="120" t="s">
        <v>156</v>
      </c>
      <c r="K18" s="119">
        <v>10</v>
      </c>
      <c r="L18" s="120"/>
      <c r="M18" s="120" t="s">
        <v>196</v>
      </c>
      <c r="N18" s="119">
        <v>5</v>
      </c>
      <c r="O18" s="118"/>
    </row>
    <row r="19" spans="1:15" ht="14.25" x14ac:dyDescent="0.15">
      <c r="A19" s="255"/>
      <c r="B19" s="120"/>
      <c r="C19" s="120" t="s">
        <v>66</v>
      </c>
      <c r="D19" s="120"/>
      <c r="E19" s="61"/>
      <c r="F19" s="61"/>
      <c r="G19" s="120"/>
      <c r="H19" s="119">
        <v>20</v>
      </c>
      <c r="I19" s="120"/>
      <c r="J19" s="120" t="s">
        <v>66</v>
      </c>
      <c r="K19" s="119">
        <v>20</v>
      </c>
      <c r="L19" s="120"/>
      <c r="M19" s="120"/>
      <c r="N19" s="119"/>
      <c r="O19" s="118"/>
    </row>
    <row r="20" spans="1:15" ht="14.25" x14ac:dyDescent="0.15">
      <c r="A20" s="255"/>
      <c r="B20" s="120"/>
      <c r="C20" s="120" t="s">
        <v>196</v>
      </c>
      <c r="D20" s="120"/>
      <c r="E20" s="61"/>
      <c r="F20" s="61"/>
      <c r="G20" s="120"/>
      <c r="H20" s="119">
        <v>10</v>
      </c>
      <c r="I20" s="120"/>
      <c r="J20" s="120" t="s">
        <v>196</v>
      </c>
      <c r="K20" s="119">
        <v>5</v>
      </c>
      <c r="L20" s="120"/>
      <c r="M20" s="120"/>
      <c r="N20" s="119"/>
      <c r="O20" s="118"/>
    </row>
    <row r="21" spans="1:15" ht="14.25" x14ac:dyDescent="0.15">
      <c r="A21" s="255"/>
      <c r="B21" s="120"/>
      <c r="C21" s="120"/>
      <c r="D21" s="120"/>
      <c r="E21" s="61"/>
      <c r="F21" s="61"/>
      <c r="G21" s="120" t="s">
        <v>32</v>
      </c>
      <c r="H21" s="119" t="s">
        <v>438</v>
      </c>
      <c r="I21" s="120"/>
      <c r="J21" s="120"/>
      <c r="K21" s="119"/>
      <c r="L21" s="120"/>
      <c r="M21" s="120"/>
      <c r="N21" s="119"/>
      <c r="O21" s="118"/>
    </row>
    <row r="22" spans="1:15" ht="14.25" x14ac:dyDescent="0.15">
      <c r="A22" s="255"/>
      <c r="B22" s="123"/>
      <c r="C22" s="123"/>
      <c r="D22" s="123"/>
      <c r="E22" s="55"/>
      <c r="F22" s="55"/>
      <c r="G22" s="123"/>
      <c r="H22" s="122"/>
      <c r="I22" s="123"/>
      <c r="J22" s="123"/>
      <c r="K22" s="122"/>
      <c r="L22" s="120"/>
      <c r="M22" s="120"/>
      <c r="N22" s="119"/>
      <c r="O22" s="118"/>
    </row>
    <row r="23" spans="1:15" ht="14.25" x14ac:dyDescent="0.15">
      <c r="A23" s="255"/>
      <c r="B23" s="120" t="s">
        <v>43</v>
      </c>
      <c r="C23" s="120" t="s">
        <v>124</v>
      </c>
      <c r="D23" s="120"/>
      <c r="E23" s="61" t="s">
        <v>36</v>
      </c>
      <c r="F23" s="157"/>
      <c r="G23" s="120"/>
      <c r="H23" s="156">
        <v>0.05</v>
      </c>
      <c r="I23" s="120" t="s">
        <v>43</v>
      </c>
      <c r="J23" s="120" t="s">
        <v>124</v>
      </c>
      <c r="K23" s="156">
        <v>0.05</v>
      </c>
      <c r="L23" s="120"/>
      <c r="M23" s="120"/>
      <c r="N23" s="119"/>
      <c r="O23" s="118"/>
    </row>
    <row r="24" spans="1:15" ht="14.25" x14ac:dyDescent="0.15">
      <c r="A24" s="255"/>
      <c r="B24" s="120"/>
      <c r="C24" s="120"/>
      <c r="D24" s="120"/>
      <c r="E24" s="61"/>
      <c r="F24" s="61"/>
      <c r="G24" s="120" t="s">
        <v>32</v>
      </c>
      <c r="H24" s="119" t="s">
        <v>439</v>
      </c>
      <c r="I24" s="120"/>
      <c r="J24" s="120"/>
      <c r="K24" s="119"/>
      <c r="L24" s="120"/>
      <c r="M24" s="120"/>
      <c r="N24" s="119"/>
      <c r="O24" s="118"/>
    </row>
    <row r="25" spans="1:15" ht="14.25" x14ac:dyDescent="0.15">
      <c r="A25" s="255"/>
      <c r="B25" s="120"/>
      <c r="C25" s="120"/>
      <c r="D25" s="120"/>
      <c r="E25" s="61"/>
      <c r="F25" s="61"/>
      <c r="G25" s="120" t="s">
        <v>46</v>
      </c>
      <c r="H25" s="119" t="s">
        <v>438</v>
      </c>
      <c r="I25" s="120"/>
      <c r="J25" s="120"/>
      <c r="K25" s="119"/>
      <c r="L25" s="120"/>
      <c r="M25" s="120"/>
      <c r="N25" s="119"/>
      <c r="O25" s="118"/>
    </row>
    <row r="26" spans="1:15" ht="15" thickBot="1" x14ac:dyDescent="0.2">
      <c r="A26" s="256"/>
      <c r="B26" s="117"/>
      <c r="C26" s="117"/>
      <c r="D26" s="117"/>
      <c r="E26" s="68"/>
      <c r="F26" s="68"/>
      <c r="G26" s="117"/>
      <c r="H26" s="116"/>
      <c r="I26" s="117"/>
      <c r="J26" s="117"/>
      <c r="K26" s="116"/>
      <c r="L26" s="117"/>
      <c r="M26" s="117"/>
      <c r="N26" s="116"/>
      <c r="O26" s="115"/>
    </row>
    <row r="27" spans="1:15" ht="14.25" x14ac:dyDescent="0.15">
      <c r="B27" s="114"/>
      <c r="C27" s="114"/>
      <c r="D27" s="114"/>
      <c r="G27" s="114"/>
      <c r="H27" s="113"/>
      <c r="I27" s="114"/>
      <c r="J27" s="114"/>
      <c r="K27" s="113"/>
      <c r="L27" s="114"/>
      <c r="M27" s="114"/>
      <c r="N27" s="113"/>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sheetData>
  <mergeCells count="15">
    <mergeCell ref="L8:N8"/>
    <mergeCell ref="O8:O10"/>
    <mergeCell ref="I9:K9"/>
    <mergeCell ref="L9:N9"/>
    <mergeCell ref="A11:A26"/>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242</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23</v>
      </c>
      <c r="C10" s="48"/>
      <c r="D10" s="49"/>
      <c r="E10" s="50"/>
      <c r="F10" s="51"/>
      <c r="G10" s="82"/>
      <c r="H10" s="86"/>
      <c r="I10" s="49"/>
      <c r="J10" s="51"/>
      <c r="K10" s="51"/>
      <c r="L10" s="51"/>
      <c r="M10" s="51"/>
      <c r="N10" s="90"/>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71</v>
      </c>
      <c r="C12" s="60" t="s">
        <v>77</v>
      </c>
      <c r="D12" s="61"/>
      <c r="E12" s="65">
        <v>1</v>
      </c>
      <c r="F12" s="62" t="s">
        <v>79</v>
      </c>
      <c r="G12" s="84" t="s">
        <v>78</v>
      </c>
      <c r="H12" s="88" t="s">
        <v>77</v>
      </c>
      <c r="I12" s="61"/>
      <c r="J12" s="62">
        <f>ROUNDUP(E12*0.75,2)</f>
        <v>0.75</v>
      </c>
      <c r="K12" s="62" t="s">
        <v>79</v>
      </c>
      <c r="L12" s="62" t="s">
        <v>78</v>
      </c>
      <c r="M12" s="62">
        <f>ROUNDUP((R5*E12)+(R6*J12)+(R7*(E12*2)),2)</f>
        <v>0</v>
      </c>
      <c r="N12" s="92">
        <f>M12</f>
        <v>0</v>
      </c>
      <c r="O12" s="80" t="s">
        <v>72</v>
      </c>
      <c r="P12" s="63" t="s">
        <v>42</v>
      </c>
      <c r="Q12" s="61"/>
      <c r="R12" s="64">
        <v>0.05</v>
      </c>
      <c r="S12" s="65">
        <f>ROUNDUP(R12*0.75,2)</f>
        <v>0.04</v>
      </c>
      <c r="T12" s="76">
        <f>ROUNDUP((R5*R12)+(R6*S12)+(R7*(R12*2)),2)</f>
        <v>0</v>
      </c>
    </row>
    <row r="13" spans="1:21" ht="18.75" customHeight="1" x14ac:dyDescent="0.15">
      <c r="A13" s="232"/>
      <c r="B13" s="80"/>
      <c r="C13" s="60" t="s">
        <v>80</v>
      </c>
      <c r="D13" s="61" t="s">
        <v>52</v>
      </c>
      <c r="E13" s="66">
        <v>0.1</v>
      </c>
      <c r="F13" s="62" t="s">
        <v>45</v>
      </c>
      <c r="G13" s="84"/>
      <c r="H13" s="88" t="s">
        <v>80</v>
      </c>
      <c r="I13" s="61" t="s">
        <v>52</v>
      </c>
      <c r="J13" s="62">
        <f>ROUNDUP(E13*0.75,2)</f>
        <v>0.08</v>
      </c>
      <c r="K13" s="62" t="s">
        <v>45</v>
      </c>
      <c r="L13" s="62"/>
      <c r="M13" s="62">
        <f>ROUNDUP((R5*E13)+(R6*J13)+(R7*(E13*2)),2)</f>
        <v>0</v>
      </c>
      <c r="N13" s="92">
        <f>M13</f>
        <v>0</v>
      </c>
      <c r="O13" s="80" t="s">
        <v>73</v>
      </c>
      <c r="P13" s="63" t="s">
        <v>67</v>
      </c>
      <c r="Q13" s="61"/>
      <c r="R13" s="64">
        <v>0.01</v>
      </c>
      <c r="S13" s="65">
        <f>ROUNDUP(R13*0.75,2)</f>
        <v>0.01</v>
      </c>
      <c r="T13" s="76">
        <f>ROUNDUP((R5*R13)+(R6*S13)+(R7*(R13*2)),2)</f>
        <v>0</v>
      </c>
    </row>
    <row r="14" spans="1:21" ht="18.75" customHeight="1" x14ac:dyDescent="0.15">
      <c r="A14" s="232"/>
      <c r="B14" s="80"/>
      <c r="C14" s="60" t="s">
        <v>81</v>
      </c>
      <c r="D14" s="61"/>
      <c r="E14" s="65">
        <v>20</v>
      </c>
      <c r="F14" s="62" t="s">
        <v>27</v>
      </c>
      <c r="G14" s="84"/>
      <c r="H14" s="88" t="s">
        <v>81</v>
      </c>
      <c r="I14" s="61"/>
      <c r="J14" s="62">
        <f>ROUNDUP(E14*0.75,2)</f>
        <v>15</v>
      </c>
      <c r="K14" s="62" t="s">
        <v>27</v>
      </c>
      <c r="L14" s="62"/>
      <c r="M14" s="62">
        <f>ROUNDUP((R5*E14)+(R6*J14)+(R7*(E14*2)),2)</f>
        <v>0</v>
      </c>
      <c r="N14" s="92">
        <f>M14</f>
        <v>0</v>
      </c>
      <c r="O14" s="80" t="s">
        <v>74</v>
      </c>
      <c r="P14" s="63" t="s">
        <v>64</v>
      </c>
      <c r="Q14" s="61"/>
      <c r="R14" s="64">
        <v>2</v>
      </c>
      <c r="S14" s="65">
        <f>ROUNDUP(R14*0.75,2)</f>
        <v>1.5</v>
      </c>
      <c r="T14" s="76">
        <f>ROUNDUP((R5*R14)+(R6*S14)+(R7*(R14*2)),2)</f>
        <v>0</v>
      </c>
    </row>
    <row r="15" spans="1:21" ht="18.75" customHeight="1" x14ac:dyDescent="0.15">
      <c r="A15" s="232"/>
      <c r="B15" s="80"/>
      <c r="C15" s="60"/>
      <c r="D15" s="61"/>
      <c r="E15" s="65"/>
      <c r="F15" s="62"/>
      <c r="G15" s="84"/>
      <c r="H15" s="88"/>
      <c r="I15" s="61"/>
      <c r="J15" s="62"/>
      <c r="K15" s="62"/>
      <c r="L15" s="62"/>
      <c r="M15" s="62"/>
      <c r="N15" s="92"/>
      <c r="O15" s="80" t="s">
        <v>75</v>
      </c>
      <c r="P15" s="63" t="s">
        <v>64</v>
      </c>
      <c r="Q15" s="61"/>
      <c r="R15" s="64">
        <v>1</v>
      </c>
      <c r="S15" s="65">
        <f>ROUNDUP(R15*0.75,2)</f>
        <v>0.75</v>
      </c>
      <c r="T15" s="76">
        <f>ROUNDUP((R5*R15)+(R6*S15)+(R7*(R15*2)),2)</f>
        <v>0</v>
      </c>
    </row>
    <row r="16" spans="1:21" ht="18.75" customHeight="1" x14ac:dyDescent="0.15">
      <c r="A16" s="232"/>
      <c r="B16" s="80"/>
      <c r="C16" s="60"/>
      <c r="D16" s="61"/>
      <c r="E16" s="65"/>
      <c r="F16" s="62"/>
      <c r="G16" s="84"/>
      <c r="H16" s="88"/>
      <c r="I16" s="61"/>
      <c r="J16" s="62"/>
      <c r="K16" s="62"/>
      <c r="L16" s="62"/>
      <c r="M16" s="62"/>
      <c r="N16" s="92"/>
      <c r="O16" s="80" t="s">
        <v>76</v>
      </c>
      <c r="P16" s="63" t="s">
        <v>42</v>
      </c>
      <c r="Q16" s="61"/>
      <c r="R16" s="64">
        <v>0.05</v>
      </c>
      <c r="S16" s="65">
        <f>ROUNDUP(R16*0.75,2)</f>
        <v>0.04</v>
      </c>
      <c r="T16" s="76">
        <f>ROUNDUP((R5*R16)+(R6*S16)+(R7*(R16*2)),2)</f>
        <v>0</v>
      </c>
    </row>
    <row r="17" spans="1:20" ht="18.75" customHeight="1" x14ac:dyDescent="0.15">
      <c r="A17" s="232"/>
      <c r="B17" s="80"/>
      <c r="C17" s="60"/>
      <c r="D17" s="61"/>
      <c r="E17" s="65"/>
      <c r="F17" s="62"/>
      <c r="G17" s="84"/>
      <c r="H17" s="88"/>
      <c r="I17" s="61"/>
      <c r="J17" s="62"/>
      <c r="K17" s="62"/>
      <c r="L17" s="62"/>
      <c r="M17" s="62"/>
      <c r="N17" s="92"/>
      <c r="O17" s="80" t="s">
        <v>24</v>
      </c>
      <c r="P17" s="63"/>
      <c r="Q17" s="61"/>
      <c r="R17" s="64"/>
      <c r="S17" s="65"/>
      <c r="T17" s="76"/>
    </row>
    <row r="18" spans="1:20" ht="18.75" customHeight="1" x14ac:dyDescent="0.15">
      <c r="A18" s="232"/>
      <c r="B18" s="79"/>
      <c r="C18" s="54"/>
      <c r="D18" s="55"/>
      <c r="E18" s="56"/>
      <c r="F18" s="57"/>
      <c r="G18" s="83"/>
      <c r="H18" s="87"/>
      <c r="I18" s="55"/>
      <c r="J18" s="57"/>
      <c r="K18" s="57"/>
      <c r="L18" s="57"/>
      <c r="M18" s="57"/>
      <c r="N18" s="91"/>
      <c r="O18" s="79"/>
      <c r="P18" s="58"/>
      <c r="Q18" s="55"/>
      <c r="R18" s="59"/>
      <c r="S18" s="56"/>
      <c r="T18" s="75"/>
    </row>
    <row r="19" spans="1:20" ht="18.75" customHeight="1" x14ac:dyDescent="0.15">
      <c r="A19" s="232"/>
      <c r="B19" s="80" t="s">
        <v>82</v>
      </c>
      <c r="C19" s="60" t="s">
        <v>85</v>
      </c>
      <c r="D19" s="61"/>
      <c r="E19" s="65">
        <v>20</v>
      </c>
      <c r="F19" s="62" t="s">
        <v>27</v>
      </c>
      <c r="G19" s="84"/>
      <c r="H19" s="88" t="s">
        <v>85</v>
      </c>
      <c r="I19" s="61"/>
      <c r="J19" s="62">
        <f>ROUNDUP(E19*0.75,2)</f>
        <v>15</v>
      </c>
      <c r="K19" s="62" t="s">
        <v>27</v>
      </c>
      <c r="L19" s="62"/>
      <c r="M19" s="62">
        <f>ROUNDUP((R5*E19)+(R6*J19)+(R7*(E19*2)),2)</f>
        <v>0</v>
      </c>
      <c r="N19" s="92">
        <f>M19</f>
        <v>0</v>
      </c>
      <c r="O19" s="99" t="s">
        <v>298</v>
      </c>
      <c r="P19" s="63" t="s">
        <v>64</v>
      </c>
      <c r="Q19" s="61"/>
      <c r="R19" s="64">
        <v>1</v>
      </c>
      <c r="S19" s="65">
        <f>ROUNDUP(R19*0.75,2)</f>
        <v>0.75</v>
      </c>
      <c r="T19" s="76">
        <f>ROUNDUP((R5*R19)+(R6*S19)+(R7*(R19*2)),2)</f>
        <v>0</v>
      </c>
    </row>
    <row r="20" spans="1:20" ht="18.75" customHeight="1" x14ac:dyDescent="0.15">
      <c r="A20" s="232"/>
      <c r="B20" s="80"/>
      <c r="C20" s="60" t="s">
        <v>224</v>
      </c>
      <c r="D20" s="61"/>
      <c r="E20" s="65">
        <v>30</v>
      </c>
      <c r="F20" s="62" t="s">
        <v>27</v>
      </c>
      <c r="G20" s="84"/>
      <c r="H20" s="88" t="s">
        <v>224</v>
      </c>
      <c r="I20" s="61"/>
      <c r="J20" s="62">
        <f>ROUNDUP(E20*0.75,2)</f>
        <v>22.5</v>
      </c>
      <c r="K20" s="62" t="s">
        <v>27</v>
      </c>
      <c r="L20" s="62"/>
      <c r="M20" s="62">
        <f>ROUNDUP((R5*E20)+(R6*J20)+(R7*(E20*2)),2)</f>
        <v>0</v>
      </c>
      <c r="N20" s="92">
        <f>M20</f>
        <v>0</v>
      </c>
      <c r="O20" s="99" t="s">
        <v>299</v>
      </c>
      <c r="P20" s="63" t="s">
        <v>33</v>
      </c>
      <c r="Q20" s="61"/>
      <c r="R20" s="64">
        <v>1</v>
      </c>
      <c r="S20" s="65">
        <f>ROUNDUP(R20*0.75,2)</f>
        <v>0.75</v>
      </c>
      <c r="T20" s="76">
        <f>ROUNDUP((R5*R20)+(R6*S20)+(R7*(R20*2)),2)</f>
        <v>0</v>
      </c>
    </row>
    <row r="21" spans="1:20" ht="18.75" customHeight="1" x14ac:dyDescent="0.15">
      <c r="A21" s="232"/>
      <c r="B21" s="80"/>
      <c r="C21" s="60" t="s">
        <v>240</v>
      </c>
      <c r="D21" s="61"/>
      <c r="E21" s="65">
        <v>10</v>
      </c>
      <c r="F21" s="62" t="s">
        <v>27</v>
      </c>
      <c r="G21" s="84"/>
      <c r="H21" s="88" t="s">
        <v>240</v>
      </c>
      <c r="I21" s="61"/>
      <c r="J21" s="62">
        <f>ROUNDUP(E21*0.75,2)</f>
        <v>7.5</v>
      </c>
      <c r="K21" s="62" t="s">
        <v>27</v>
      </c>
      <c r="L21" s="62"/>
      <c r="M21" s="62">
        <f>ROUNDUP((R5*E21)+(R6*J21)+(R7*(E21*2)),2)</f>
        <v>0</v>
      </c>
      <c r="N21" s="92">
        <f>M21</f>
        <v>0</v>
      </c>
      <c r="O21" s="80" t="s">
        <v>44</v>
      </c>
      <c r="P21" s="63" t="s">
        <v>34</v>
      </c>
      <c r="Q21" s="61"/>
      <c r="R21" s="64">
        <v>1</v>
      </c>
      <c r="S21" s="65">
        <f>ROUNDUP(R21*0.75,2)</f>
        <v>0.75</v>
      </c>
      <c r="T21" s="76">
        <f>ROUNDUP((R5*R21)+(R6*S21)+(R7*(R21*2)),2)</f>
        <v>0</v>
      </c>
    </row>
    <row r="22" spans="1:20" ht="18.75" customHeight="1" x14ac:dyDescent="0.15">
      <c r="A22" s="232"/>
      <c r="B22" s="80"/>
      <c r="C22" s="60"/>
      <c r="D22" s="61"/>
      <c r="E22" s="65"/>
      <c r="F22" s="62"/>
      <c r="G22" s="84"/>
      <c r="H22" s="88"/>
      <c r="I22" s="61"/>
      <c r="J22" s="62"/>
      <c r="K22" s="62"/>
      <c r="L22" s="62"/>
      <c r="M22" s="62"/>
      <c r="N22" s="92"/>
      <c r="O22" s="80"/>
      <c r="P22" s="63" t="s">
        <v>35</v>
      </c>
      <c r="Q22" s="61" t="s">
        <v>36</v>
      </c>
      <c r="R22" s="64">
        <v>1</v>
      </c>
      <c r="S22" s="65">
        <f>ROUNDUP(R22*0.75,2)</f>
        <v>0.75</v>
      </c>
      <c r="T22" s="76">
        <f>ROUNDUP((R5*R22)+(R6*S22)+(R7*(R22*2)),2)</f>
        <v>0</v>
      </c>
    </row>
    <row r="23" spans="1:20" ht="18.75" customHeight="1" x14ac:dyDescent="0.15">
      <c r="A23" s="232"/>
      <c r="B23" s="80"/>
      <c r="C23" s="60"/>
      <c r="D23" s="61"/>
      <c r="E23" s="65"/>
      <c r="F23" s="62"/>
      <c r="G23" s="84"/>
      <c r="H23" s="88"/>
      <c r="I23" s="61"/>
      <c r="J23" s="62"/>
      <c r="K23" s="62"/>
      <c r="L23" s="62"/>
      <c r="M23" s="62"/>
      <c r="N23" s="92"/>
      <c r="O23" s="80"/>
      <c r="P23" s="63" t="s">
        <v>32</v>
      </c>
      <c r="Q23" s="61"/>
      <c r="R23" s="64">
        <v>20</v>
      </c>
      <c r="S23" s="65">
        <f>ROUNDUP(R23*0.75,2)</f>
        <v>15</v>
      </c>
      <c r="T23" s="76">
        <f>ROUNDUP((R5*R23)+(R6*S23)+(R7*(R23*2)),2)</f>
        <v>0</v>
      </c>
    </row>
    <row r="24" spans="1:20" ht="18.75" customHeight="1" x14ac:dyDescent="0.15">
      <c r="A24" s="232"/>
      <c r="B24" s="79"/>
      <c r="C24" s="54"/>
      <c r="D24" s="55"/>
      <c r="E24" s="56"/>
      <c r="F24" s="57"/>
      <c r="G24" s="83"/>
      <c r="H24" s="87"/>
      <c r="I24" s="55"/>
      <c r="J24" s="57"/>
      <c r="K24" s="57"/>
      <c r="L24" s="57"/>
      <c r="M24" s="57"/>
      <c r="N24" s="91"/>
      <c r="O24" s="79"/>
      <c r="P24" s="58"/>
      <c r="Q24" s="55"/>
      <c r="R24" s="59"/>
      <c r="S24" s="56"/>
      <c r="T24" s="75"/>
    </row>
    <row r="25" spans="1:20" ht="18.75" customHeight="1" x14ac:dyDescent="0.15">
      <c r="A25" s="232"/>
      <c r="B25" s="80" t="s">
        <v>43</v>
      </c>
      <c r="C25" s="60" t="s">
        <v>213</v>
      </c>
      <c r="D25" s="61"/>
      <c r="E25" s="65">
        <v>5</v>
      </c>
      <c r="F25" s="62" t="s">
        <v>27</v>
      </c>
      <c r="G25" s="84"/>
      <c r="H25" s="88" t="s">
        <v>213</v>
      </c>
      <c r="I25" s="61"/>
      <c r="J25" s="62">
        <f>ROUNDUP(E25*0.75,2)</f>
        <v>3.75</v>
      </c>
      <c r="K25" s="62" t="s">
        <v>27</v>
      </c>
      <c r="L25" s="62"/>
      <c r="M25" s="62">
        <f>ROUNDUP((R5*E25)+(R6*J25)+(R7*(E25*2)),2)</f>
        <v>0</v>
      </c>
      <c r="N25" s="92">
        <f>M25</f>
        <v>0</v>
      </c>
      <c r="O25" s="80" t="s">
        <v>44</v>
      </c>
      <c r="P25" s="63" t="s">
        <v>32</v>
      </c>
      <c r="Q25" s="61"/>
      <c r="R25" s="64">
        <v>100</v>
      </c>
      <c r="S25" s="65">
        <f>ROUNDUP(R25*0.75,2)</f>
        <v>75</v>
      </c>
      <c r="T25" s="76">
        <f>ROUNDUP((R5*R25)+(R6*S25)+(R7*(R25*2)),2)</f>
        <v>0</v>
      </c>
    </row>
    <row r="26" spans="1:20" ht="18.75" customHeight="1" x14ac:dyDescent="0.15">
      <c r="A26" s="232"/>
      <c r="B26" s="80"/>
      <c r="C26" s="60" t="s">
        <v>87</v>
      </c>
      <c r="D26" s="61"/>
      <c r="E26" s="65">
        <v>5</v>
      </c>
      <c r="F26" s="62" t="s">
        <v>27</v>
      </c>
      <c r="G26" s="84"/>
      <c r="H26" s="88" t="s">
        <v>87</v>
      </c>
      <c r="I26" s="61"/>
      <c r="J26" s="62">
        <f>ROUNDUP(E26*0.75,2)</f>
        <v>3.75</v>
      </c>
      <c r="K26" s="62" t="s">
        <v>27</v>
      </c>
      <c r="L26" s="62"/>
      <c r="M26" s="62">
        <f>ROUNDUP((R5*E26)+(R6*J26)+(R7*(E26*2)),2)</f>
        <v>0</v>
      </c>
      <c r="N26" s="92">
        <f>M26</f>
        <v>0</v>
      </c>
      <c r="O26" s="80"/>
      <c r="P26" s="63" t="s">
        <v>46</v>
      </c>
      <c r="Q26" s="61"/>
      <c r="R26" s="64">
        <v>3</v>
      </c>
      <c r="S26" s="65">
        <f>ROUNDUP(R26*0.75,2)</f>
        <v>2.25</v>
      </c>
      <c r="T26" s="76">
        <f>ROUNDUP((R5*R26)+(R6*S26)+(R7*(R26*2)),2)</f>
        <v>0</v>
      </c>
    </row>
    <row r="27" spans="1:20" ht="18.75" customHeight="1" x14ac:dyDescent="0.15">
      <c r="A27" s="232"/>
      <c r="B27" s="79"/>
      <c r="C27" s="54"/>
      <c r="D27" s="55"/>
      <c r="E27" s="56"/>
      <c r="F27" s="57"/>
      <c r="G27" s="83"/>
      <c r="H27" s="87"/>
      <c r="I27" s="55"/>
      <c r="J27" s="57"/>
      <c r="K27" s="57"/>
      <c r="L27" s="57"/>
      <c r="M27" s="57"/>
      <c r="N27" s="91"/>
      <c r="O27" s="79"/>
      <c r="P27" s="58"/>
      <c r="Q27" s="55"/>
      <c r="R27" s="59"/>
      <c r="S27" s="56"/>
      <c r="T27" s="75"/>
    </row>
    <row r="28" spans="1:20" ht="18.75" customHeight="1" x14ac:dyDescent="0.15">
      <c r="A28" s="232"/>
      <c r="B28" s="80" t="s">
        <v>202</v>
      </c>
      <c r="C28" s="60" t="s">
        <v>203</v>
      </c>
      <c r="D28" s="61"/>
      <c r="E28" s="65">
        <v>30</v>
      </c>
      <c r="F28" s="62" t="s">
        <v>27</v>
      </c>
      <c r="G28" s="84"/>
      <c r="H28" s="88" t="s">
        <v>203</v>
      </c>
      <c r="I28" s="61"/>
      <c r="J28" s="62">
        <f>ROUNDUP(E28*0.75,2)</f>
        <v>22.5</v>
      </c>
      <c r="K28" s="62" t="s">
        <v>27</v>
      </c>
      <c r="L28" s="62"/>
      <c r="M28" s="62">
        <f>ROUNDUP((R5*E28)+(R6*J28)+(R7*(E28*2)),2)</f>
        <v>0</v>
      </c>
      <c r="N28" s="92">
        <f>M28</f>
        <v>0</v>
      </c>
      <c r="O28" s="80"/>
      <c r="P28" s="63"/>
      <c r="Q28" s="61"/>
      <c r="R28" s="64"/>
      <c r="S28" s="65"/>
      <c r="T28" s="76"/>
    </row>
    <row r="29" spans="1:20" ht="18.75" customHeight="1" thickBot="1" x14ac:dyDescent="0.2">
      <c r="A29" s="233"/>
      <c r="B29" s="81"/>
      <c r="C29" s="67"/>
      <c r="D29" s="68"/>
      <c r="E29" s="69"/>
      <c r="F29" s="70"/>
      <c r="G29" s="85"/>
      <c r="H29" s="89"/>
      <c r="I29" s="68"/>
      <c r="J29" s="70"/>
      <c r="K29" s="70"/>
      <c r="L29" s="70"/>
      <c r="M29" s="70"/>
      <c r="N29" s="93"/>
      <c r="O29" s="81"/>
      <c r="P29" s="71"/>
      <c r="Q29" s="68"/>
      <c r="R29" s="72"/>
      <c r="S29" s="69"/>
      <c r="T29" s="77"/>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32F68-158D-4791-BEC0-3BEDA116C997}">
  <sheetPr>
    <pageSetUpPr fitToPage="1"/>
  </sheetPr>
  <dimension ref="A1:U65"/>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242</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333</v>
      </c>
      <c r="C13" s="120" t="s">
        <v>77</v>
      </c>
      <c r="D13" s="120" t="s">
        <v>78</v>
      </c>
      <c r="E13" s="61"/>
      <c r="F13" s="61"/>
      <c r="G13" s="120"/>
      <c r="H13" s="129">
        <v>0.7</v>
      </c>
      <c r="I13" s="120" t="s">
        <v>333</v>
      </c>
      <c r="J13" s="120" t="s">
        <v>77</v>
      </c>
      <c r="K13" s="129">
        <v>0.3</v>
      </c>
      <c r="L13" s="120" t="s">
        <v>334</v>
      </c>
      <c r="M13" s="120" t="s">
        <v>77</v>
      </c>
      <c r="N13" s="128">
        <v>0.2</v>
      </c>
      <c r="O13" s="118" t="s">
        <v>78</v>
      </c>
    </row>
    <row r="14" spans="1:21" ht="14.25" x14ac:dyDescent="0.15">
      <c r="A14" s="255"/>
      <c r="B14" s="120"/>
      <c r="C14" s="120" t="s">
        <v>81</v>
      </c>
      <c r="D14" s="120"/>
      <c r="E14" s="61"/>
      <c r="F14" s="61"/>
      <c r="G14" s="120"/>
      <c r="H14" s="119">
        <v>20</v>
      </c>
      <c r="I14" s="120"/>
      <c r="J14" s="120" t="s">
        <v>81</v>
      </c>
      <c r="K14" s="119">
        <v>15</v>
      </c>
      <c r="L14" s="120"/>
      <c r="M14" s="120" t="s">
        <v>81</v>
      </c>
      <c r="N14" s="119">
        <v>10</v>
      </c>
      <c r="O14" s="118"/>
    </row>
    <row r="15" spans="1:21" ht="14.25" x14ac:dyDescent="0.15">
      <c r="A15" s="255"/>
      <c r="B15" s="120"/>
      <c r="C15" s="120"/>
      <c r="D15" s="120"/>
      <c r="E15" s="61"/>
      <c r="F15" s="61"/>
      <c r="G15" s="120" t="s">
        <v>32</v>
      </c>
      <c r="H15" s="119" t="s">
        <v>439</v>
      </c>
      <c r="I15" s="120"/>
      <c r="J15" s="120"/>
      <c r="K15" s="119"/>
      <c r="L15" s="123"/>
      <c r="M15" s="123"/>
      <c r="N15" s="122"/>
      <c r="O15" s="126"/>
    </row>
    <row r="16" spans="1:21" ht="14.25" x14ac:dyDescent="0.15">
      <c r="A16" s="255"/>
      <c r="B16" s="123"/>
      <c r="C16" s="123"/>
      <c r="D16" s="123"/>
      <c r="E16" s="55"/>
      <c r="F16" s="55"/>
      <c r="G16" s="123"/>
      <c r="H16" s="122"/>
      <c r="I16" s="123"/>
      <c r="J16" s="123"/>
      <c r="K16" s="122"/>
      <c r="L16" s="120" t="s">
        <v>437</v>
      </c>
      <c r="M16" s="120" t="s">
        <v>224</v>
      </c>
      <c r="N16" s="119">
        <v>15</v>
      </c>
      <c r="O16" s="118"/>
    </row>
    <row r="17" spans="1:15" ht="14.25" x14ac:dyDescent="0.15">
      <c r="A17" s="255"/>
      <c r="B17" s="120" t="s">
        <v>338</v>
      </c>
      <c r="C17" s="120" t="s">
        <v>85</v>
      </c>
      <c r="D17" s="120"/>
      <c r="E17" s="61"/>
      <c r="F17" s="61"/>
      <c r="G17" s="120"/>
      <c r="H17" s="119">
        <v>5</v>
      </c>
      <c r="I17" s="120" t="s">
        <v>338</v>
      </c>
      <c r="J17" s="127" t="s">
        <v>156</v>
      </c>
      <c r="K17" s="119">
        <v>5</v>
      </c>
      <c r="L17" s="120"/>
      <c r="M17" s="120" t="s">
        <v>240</v>
      </c>
      <c r="N17" s="119">
        <v>5</v>
      </c>
      <c r="O17" s="118"/>
    </row>
    <row r="18" spans="1:15" ht="14.25" x14ac:dyDescent="0.15">
      <c r="A18" s="255"/>
      <c r="B18" s="120"/>
      <c r="C18" s="120" t="s">
        <v>224</v>
      </c>
      <c r="D18" s="120"/>
      <c r="E18" s="61"/>
      <c r="F18" s="61"/>
      <c r="G18" s="120"/>
      <c r="H18" s="119">
        <v>20</v>
      </c>
      <c r="I18" s="120"/>
      <c r="J18" s="120" t="s">
        <v>224</v>
      </c>
      <c r="K18" s="119">
        <v>20</v>
      </c>
      <c r="L18" s="120"/>
      <c r="M18" s="120" t="s">
        <v>213</v>
      </c>
      <c r="N18" s="119">
        <v>5</v>
      </c>
      <c r="O18" s="118"/>
    </row>
    <row r="19" spans="1:15" ht="14.25" x14ac:dyDescent="0.15">
      <c r="A19" s="255"/>
      <c r="B19" s="120"/>
      <c r="C19" s="120" t="s">
        <v>240</v>
      </c>
      <c r="D19" s="120"/>
      <c r="E19" s="61"/>
      <c r="F19" s="61"/>
      <c r="G19" s="120"/>
      <c r="H19" s="119">
        <v>5</v>
      </c>
      <c r="I19" s="120"/>
      <c r="J19" s="120" t="s">
        <v>240</v>
      </c>
      <c r="K19" s="119">
        <v>5</v>
      </c>
      <c r="L19" s="120"/>
      <c r="M19" s="120"/>
      <c r="N19" s="119"/>
      <c r="O19" s="118"/>
    </row>
    <row r="20" spans="1:15" ht="14.25" x14ac:dyDescent="0.15">
      <c r="A20" s="255"/>
      <c r="B20" s="120"/>
      <c r="C20" s="120"/>
      <c r="D20" s="120"/>
      <c r="E20" s="61"/>
      <c r="F20" s="61"/>
      <c r="G20" s="120" t="s">
        <v>32</v>
      </c>
      <c r="H20" s="119" t="s">
        <v>439</v>
      </c>
      <c r="I20" s="120"/>
      <c r="J20" s="120"/>
      <c r="K20" s="119"/>
      <c r="L20" s="120"/>
      <c r="M20" s="120"/>
      <c r="N20" s="119"/>
      <c r="O20" s="118"/>
    </row>
    <row r="21" spans="1:15" ht="14.25" x14ac:dyDescent="0.15">
      <c r="A21" s="255"/>
      <c r="B21" s="120"/>
      <c r="C21" s="120"/>
      <c r="D21" s="120"/>
      <c r="E21" s="61"/>
      <c r="F21" s="61" t="s">
        <v>36</v>
      </c>
      <c r="G21" s="120" t="s">
        <v>35</v>
      </c>
      <c r="H21" s="119" t="s">
        <v>438</v>
      </c>
      <c r="I21" s="120"/>
      <c r="J21" s="120"/>
      <c r="K21" s="119"/>
      <c r="L21" s="120"/>
      <c r="M21" s="120"/>
      <c r="N21" s="119"/>
      <c r="O21" s="118"/>
    </row>
    <row r="22" spans="1:15" ht="14.25" x14ac:dyDescent="0.15">
      <c r="A22" s="255"/>
      <c r="B22" s="120"/>
      <c r="C22" s="120"/>
      <c r="D22" s="120"/>
      <c r="E22" s="61"/>
      <c r="F22" s="61"/>
      <c r="G22" s="120" t="s">
        <v>33</v>
      </c>
      <c r="H22" s="119" t="s">
        <v>438</v>
      </c>
      <c r="I22" s="120"/>
      <c r="J22" s="120"/>
      <c r="K22" s="119"/>
      <c r="L22" s="120"/>
      <c r="M22" s="120"/>
      <c r="N22" s="119"/>
      <c r="O22" s="118"/>
    </row>
    <row r="23" spans="1:15" ht="14.25" x14ac:dyDescent="0.15">
      <c r="A23" s="255"/>
      <c r="B23" s="123"/>
      <c r="C23" s="123"/>
      <c r="D23" s="123"/>
      <c r="E23" s="55"/>
      <c r="F23" s="124"/>
      <c r="G23" s="123"/>
      <c r="H23" s="122"/>
      <c r="I23" s="123"/>
      <c r="J23" s="123"/>
      <c r="K23" s="122"/>
      <c r="L23" s="120"/>
      <c r="M23" s="120"/>
      <c r="N23" s="119"/>
      <c r="O23" s="118"/>
    </row>
    <row r="24" spans="1:15" ht="14.25" x14ac:dyDescent="0.15">
      <c r="A24" s="255"/>
      <c r="B24" s="120" t="s">
        <v>43</v>
      </c>
      <c r="C24" s="120" t="s">
        <v>213</v>
      </c>
      <c r="D24" s="120"/>
      <c r="E24" s="61"/>
      <c r="F24" s="61"/>
      <c r="G24" s="120"/>
      <c r="H24" s="119">
        <v>5</v>
      </c>
      <c r="I24" s="120" t="s">
        <v>43</v>
      </c>
      <c r="J24" s="120" t="s">
        <v>213</v>
      </c>
      <c r="K24" s="119">
        <v>5</v>
      </c>
      <c r="L24" s="120"/>
      <c r="M24" s="120"/>
      <c r="N24" s="119"/>
      <c r="O24" s="118"/>
    </row>
    <row r="25" spans="1:15" ht="14.25" x14ac:dyDescent="0.15">
      <c r="A25" s="255"/>
      <c r="B25" s="120"/>
      <c r="C25" s="120"/>
      <c r="D25" s="120"/>
      <c r="E25" s="61"/>
      <c r="F25" s="61"/>
      <c r="G25" s="120" t="s">
        <v>32</v>
      </c>
      <c r="H25" s="119" t="s">
        <v>439</v>
      </c>
      <c r="I25" s="120"/>
      <c r="J25" s="120"/>
      <c r="K25" s="119"/>
      <c r="L25" s="120"/>
      <c r="M25" s="120"/>
      <c r="N25" s="119"/>
      <c r="O25" s="118"/>
    </row>
    <row r="26" spans="1:15" ht="14.25" x14ac:dyDescent="0.15">
      <c r="A26" s="255"/>
      <c r="B26" s="120"/>
      <c r="C26" s="120"/>
      <c r="D26" s="120"/>
      <c r="E26" s="61"/>
      <c r="F26" s="61"/>
      <c r="G26" s="120" t="s">
        <v>46</v>
      </c>
      <c r="H26" s="119" t="s">
        <v>438</v>
      </c>
      <c r="I26" s="120"/>
      <c r="J26" s="120"/>
      <c r="K26" s="119"/>
      <c r="L26" s="120"/>
      <c r="M26" s="120"/>
      <c r="N26" s="119"/>
      <c r="O26" s="118"/>
    </row>
    <row r="27" spans="1:15" ht="15" thickBot="1" x14ac:dyDescent="0.2">
      <c r="A27" s="256"/>
      <c r="B27" s="117"/>
      <c r="C27" s="117"/>
      <c r="D27" s="117"/>
      <c r="E27" s="68"/>
      <c r="F27" s="68"/>
      <c r="G27" s="117"/>
      <c r="H27" s="116"/>
      <c r="I27" s="117"/>
      <c r="J27" s="117"/>
      <c r="K27" s="116"/>
      <c r="L27" s="117"/>
      <c r="M27" s="117"/>
      <c r="N27" s="116"/>
      <c r="O27" s="115"/>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row r="61" spans="2:14" ht="14.25" x14ac:dyDescent="0.15">
      <c r="B61" s="114"/>
      <c r="C61" s="114"/>
      <c r="D61" s="114"/>
      <c r="G61" s="114"/>
      <c r="H61" s="113"/>
      <c r="I61" s="114"/>
      <c r="J61" s="114"/>
      <c r="K61" s="113"/>
      <c r="L61" s="114"/>
      <c r="M61" s="114"/>
      <c r="N61" s="113"/>
    </row>
    <row r="62" spans="2:14" ht="14.25" x14ac:dyDescent="0.15">
      <c r="B62" s="114"/>
      <c r="C62" s="114"/>
      <c r="D62" s="114"/>
      <c r="G62" s="114"/>
      <c r="H62" s="113"/>
      <c r="I62" s="114"/>
      <c r="J62" s="114"/>
      <c r="K62" s="113"/>
      <c r="L62" s="114"/>
      <c r="M62" s="114"/>
      <c r="N62" s="113"/>
    </row>
    <row r="63" spans="2:14" ht="14.25" x14ac:dyDescent="0.15">
      <c r="B63" s="114"/>
      <c r="C63" s="114"/>
      <c r="D63" s="114"/>
      <c r="G63" s="114"/>
      <c r="H63" s="113"/>
      <c r="I63" s="114"/>
      <c r="J63" s="114"/>
      <c r="K63" s="113"/>
      <c r="L63" s="114"/>
      <c r="M63" s="114"/>
      <c r="N63" s="113"/>
    </row>
    <row r="64" spans="2:14" ht="14.25" x14ac:dyDescent="0.15">
      <c r="B64" s="114"/>
      <c r="C64" s="114"/>
      <c r="D64" s="114"/>
      <c r="G64" s="114"/>
      <c r="H64" s="113"/>
      <c r="I64" s="114"/>
      <c r="J64" s="114"/>
      <c r="K64" s="113"/>
      <c r="L64" s="114"/>
      <c r="M64" s="114"/>
      <c r="N64" s="113"/>
    </row>
    <row r="65" spans="2:14" ht="14.25" x14ac:dyDescent="0.15">
      <c r="B65" s="114"/>
      <c r="C65" s="114"/>
      <c r="D65" s="114"/>
      <c r="G65" s="114"/>
      <c r="H65" s="113"/>
      <c r="I65" s="114"/>
      <c r="J65" s="114"/>
      <c r="K65" s="113"/>
      <c r="L65" s="114"/>
      <c r="M65" s="114"/>
      <c r="N65" s="113"/>
    </row>
  </sheetData>
  <mergeCells count="15">
    <mergeCell ref="L8:N8"/>
    <mergeCell ref="O8:O10"/>
    <mergeCell ref="I9:K9"/>
    <mergeCell ref="L9:N9"/>
    <mergeCell ref="A11:A27"/>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24"/>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243</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105</v>
      </c>
      <c r="C10" s="48" t="s">
        <v>93</v>
      </c>
      <c r="D10" s="49"/>
      <c r="E10" s="50">
        <v>30</v>
      </c>
      <c r="F10" s="51" t="s">
        <v>27</v>
      </c>
      <c r="G10" s="82"/>
      <c r="H10" s="86" t="s">
        <v>93</v>
      </c>
      <c r="I10" s="49"/>
      <c r="J10" s="51">
        <f t="shared" ref="J10:J15" si="0">ROUNDUP(E10*0.75,2)</f>
        <v>22.5</v>
      </c>
      <c r="K10" s="51" t="s">
        <v>27</v>
      </c>
      <c r="L10" s="51"/>
      <c r="M10" s="51">
        <f>ROUNDUP((R5*E10)+(R6*J10)+(R7*(E10*2)),2)</f>
        <v>0</v>
      </c>
      <c r="N10" s="90">
        <f>M10</f>
        <v>0</v>
      </c>
      <c r="O10" s="78" t="s">
        <v>106</v>
      </c>
      <c r="P10" s="52" t="s">
        <v>23</v>
      </c>
      <c r="Q10" s="49"/>
      <c r="R10" s="53">
        <v>110</v>
      </c>
      <c r="S10" s="50">
        <f t="shared" ref="S10:S15" si="1">ROUNDUP(R10*0.75,2)</f>
        <v>82.5</v>
      </c>
      <c r="T10" s="74">
        <f>ROUNDUP((R5*R10)+(R6*S10)+(R7*(R10*2)),2)</f>
        <v>0</v>
      </c>
    </row>
    <row r="11" spans="1:21" ht="18.75" customHeight="1" x14ac:dyDescent="0.15">
      <c r="A11" s="232"/>
      <c r="B11" s="80"/>
      <c r="C11" s="60" t="s">
        <v>30</v>
      </c>
      <c r="D11" s="61"/>
      <c r="E11" s="65">
        <v>30</v>
      </c>
      <c r="F11" s="62" t="s">
        <v>27</v>
      </c>
      <c r="G11" s="84"/>
      <c r="H11" s="88" t="s">
        <v>30</v>
      </c>
      <c r="I11" s="61"/>
      <c r="J11" s="62">
        <f t="shared" si="0"/>
        <v>22.5</v>
      </c>
      <c r="K11" s="62" t="s">
        <v>27</v>
      </c>
      <c r="L11" s="62"/>
      <c r="M11" s="62">
        <f>ROUNDUP((R5*E11)+(R6*J11)+(R7*(E11*2)),2)</f>
        <v>0</v>
      </c>
      <c r="N11" s="92">
        <f>ROUND(M11+(M11*6/100),2)</f>
        <v>0</v>
      </c>
      <c r="O11" s="80" t="s">
        <v>244</v>
      </c>
      <c r="P11" s="63" t="s">
        <v>65</v>
      </c>
      <c r="Q11" s="61"/>
      <c r="R11" s="64">
        <v>0.5</v>
      </c>
      <c r="S11" s="65">
        <f t="shared" si="1"/>
        <v>0.38</v>
      </c>
      <c r="T11" s="76">
        <f>ROUNDUP((R5*R11)+(R6*S11)+(R7*(R11*2)),2)</f>
        <v>0</v>
      </c>
    </row>
    <row r="12" spans="1:21" ht="18.75" customHeight="1" x14ac:dyDescent="0.15">
      <c r="A12" s="232"/>
      <c r="B12" s="80"/>
      <c r="C12" s="60" t="s">
        <v>38</v>
      </c>
      <c r="D12" s="61"/>
      <c r="E12" s="65">
        <v>40</v>
      </c>
      <c r="F12" s="62" t="s">
        <v>27</v>
      </c>
      <c r="G12" s="84"/>
      <c r="H12" s="88" t="s">
        <v>38</v>
      </c>
      <c r="I12" s="61"/>
      <c r="J12" s="62">
        <f t="shared" si="0"/>
        <v>30</v>
      </c>
      <c r="K12" s="62" t="s">
        <v>27</v>
      </c>
      <c r="L12" s="62"/>
      <c r="M12" s="62">
        <f>ROUNDUP((R5*E12)+(R6*J12)+(R7*(E12*2)),2)</f>
        <v>0</v>
      </c>
      <c r="N12" s="92">
        <f>ROUND(M12+(M12*10/100),2)</f>
        <v>0</v>
      </c>
      <c r="O12" s="80" t="s">
        <v>108</v>
      </c>
      <c r="P12" s="63" t="s">
        <v>64</v>
      </c>
      <c r="Q12" s="61"/>
      <c r="R12" s="64">
        <v>2</v>
      </c>
      <c r="S12" s="65">
        <f t="shared" si="1"/>
        <v>1.5</v>
      </c>
      <c r="T12" s="76">
        <f>ROUNDUP((R5*R12)+(R6*S12)+(R7*(R12*2)),2)</f>
        <v>0</v>
      </c>
    </row>
    <row r="13" spans="1:21" ht="18.75" customHeight="1" x14ac:dyDescent="0.15">
      <c r="A13" s="232"/>
      <c r="B13" s="80"/>
      <c r="C13" s="60" t="s">
        <v>200</v>
      </c>
      <c r="D13" s="61"/>
      <c r="E13" s="65">
        <v>10</v>
      </c>
      <c r="F13" s="62" t="s">
        <v>27</v>
      </c>
      <c r="G13" s="84"/>
      <c r="H13" s="88" t="s">
        <v>200</v>
      </c>
      <c r="I13" s="61"/>
      <c r="J13" s="62">
        <f t="shared" si="0"/>
        <v>7.5</v>
      </c>
      <c r="K13" s="62" t="s">
        <v>27</v>
      </c>
      <c r="L13" s="62"/>
      <c r="M13" s="62">
        <f>ROUNDUP((R5*E13)+(R6*J13)+(R7*(E13*2)),2)</f>
        <v>0</v>
      </c>
      <c r="N13" s="92">
        <f>M13</f>
        <v>0</v>
      </c>
      <c r="O13" s="80" t="s">
        <v>109</v>
      </c>
      <c r="P13" s="63" t="s">
        <v>53</v>
      </c>
      <c r="Q13" s="61"/>
      <c r="R13" s="64">
        <v>40</v>
      </c>
      <c r="S13" s="65">
        <f t="shared" si="1"/>
        <v>30</v>
      </c>
      <c r="T13" s="76">
        <f>ROUNDUP((R5*R13)+(R6*S13)+(R7*(R13*2)),2)</f>
        <v>0</v>
      </c>
    </row>
    <row r="14" spans="1:21" ht="18.75" customHeight="1" x14ac:dyDescent="0.15">
      <c r="A14" s="232"/>
      <c r="B14" s="80"/>
      <c r="C14" s="60" t="s">
        <v>110</v>
      </c>
      <c r="D14" s="61" t="s">
        <v>36</v>
      </c>
      <c r="E14" s="65">
        <v>9</v>
      </c>
      <c r="F14" s="62" t="s">
        <v>27</v>
      </c>
      <c r="G14" s="84"/>
      <c r="H14" s="88" t="s">
        <v>110</v>
      </c>
      <c r="I14" s="61" t="s">
        <v>36</v>
      </c>
      <c r="J14" s="62">
        <f t="shared" si="0"/>
        <v>6.75</v>
      </c>
      <c r="K14" s="62" t="s">
        <v>27</v>
      </c>
      <c r="L14" s="62"/>
      <c r="M14" s="62">
        <f>ROUNDUP((R5*E14)+(R6*J14)+(R7*(E14*2)),2)</f>
        <v>0</v>
      </c>
      <c r="N14" s="92">
        <f>M14</f>
        <v>0</v>
      </c>
      <c r="O14" s="99" t="s">
        <v>301</v>
      </c>
      <c r="P14" s="63" t="s">
        <v>33</v>
      </c>
      <c r="Q14" s="61"/>
      <c r="R14" s="64">
        <v>0.5</v>
      </c>
      <c r="S14" s="65">
        <f t="shared" si="1"/>
        <v>0.38</v>
      </c>
      <c r="T14" s="76">
        <f>ROUNDUP((R5*R14)+(R6*S14)+(R7*(R14*2)),2)</f>
        <v>0</v>
      </c>
    </row>
    <row r="15" spans="1:21" ht="18.75" customHeight="1" x14ac:dyDescent="0.15">
      <c r="A15" s="232"/>
      <c r="B15" s="80"/>
      <c r="C15" s="60" t="s">
        <v>101</v>
      </c>
      <c r="D15" s="61"/>
      <c r="E15" s="65">
        <v>30</v>
      </c>
      <c r="F15" s="62" t="s">
        <v>56</v>
      </c>
      <c r="G15" s="84"/>
      <c r="H15" s="88" t="s">
        <v>101</v>
      </c>
      <c r="I15" s="61"/>
      <c r="J15" s="62">
        <f t="shared" si="0"/>
        <v>22.5</v>
      </c>
      <c r="K15" s="62" t="s">
        <v>56</v>
      </c>
      <c r="L15" s="62"/>
      <c r="M15" s="62">
        <f>ROUNDUP((R5*E15)+(R6*J15)+(R7*(E15*2)),2)</f>
        <v>0</v>
      </c>
      <c r="N15" s="92">
        <f>M15</f>
        <v>0</v>
      </c>
      <c r="O15" s="100" t="s">
        <v>302</v>
      </c>
      <c r="P15" s="63" t="s">
        <v>111</v>
      </c>
      <c r="Q15" s="61"/>
      <c r="R15" s="64">
        <v>2</v>
      </c>
      <c r="S15" s="65">
        <f t="shared" si="1"/>
        <v>1.5</v>
      </c>
      <c r="T15" s="76">
        <f>ROUNDUP((R5*R15)+(R6*S15)+(R7*(R15*2)),2)</f>
        <v>0</v>
      </c>
    </row>
    <row r="16" spans="1:21" ht="18.75" customHeight="1" x14ac:dyDescent="0.15">
      <c r="A16" s="232"/>
      <c r="B16" s="80"/>
      <c r="C16" s="60"/>
      <c r="D16" s="61"/>
      <c r="E16" s="65"/>
      <c r="F16" s="62"/>
      <c r="G16" s="84"/>
      <c r="H16" s="88"/>
      <c r="I16" s="61"/>
      <c r="J16" s="62"/>
      <c r="K16" s="62"/>
      <c r="L16" s="62"/>
      <c r="M16" s="62"/>
      <c r="N16" s="92"/>
      <c r="O16" s="80" t="s">
        <v>24</v>
      </c>
      <c r="P16" s="63"/>
      <c r="Q16" s="61"/>
      <c r="R16" s="64"/>
      <c r="S16" s="65"/>
      <c r="T16" s="76"/>
    </row>
    <row r="17" spans="1:20" ht="18.75" customHeight="1" x14ac:dyDescent="0.15">
      <c r="A17" s="232"/>
      <c r="B17" s="79"/>
      <c r="C17" s="54"/>
      <c r="D17" s="55"/>
      <c r="E17" s="56"/>
      <c r="F17" s="57"/>
      <c r="G17" s="83"/>
      <c r="H17" s="87"/>
      <c r="I17" s="55"/>
      <c r="J17" s="57"/>
      <c r="K17" s="57"/>
      <c r="L17" s="57"/>
      <c r="M17" s="57"/>
      <c r="N17" s="91"/>
      <c r="O17" s="79"/>
      <c r="P17" s="58"/>
      <c r="Q17" s="55"/>
      <c r="R17" s="59"/>
      <c r="S17" s="56"/>
      <c r="T17" s="75"/>
    </row>
    <row r="18" spans="1:20" ht="18.75" customHeight="1" x14ac:dyDescent="0.15">
      <c r="A18" s="232"/>
      <c r="B18" s="80" t="s">
        <v>303</v>
      </c>
      <c r="C18" s="60" t="s">
        <v>114</v>
      </c>
      <c r="D18" s="61"/>
      <c r="E18" s="65">
        <v>30</v>
      </c>
      <c r="F18" s="62" t="s">
        <v>27</v>
      </c>
      <c r="G18" s="84"/>
      <c r="H18" s="88" t="s">
        <v>114</v>
      </c>
      <c r="I18" s="61"/>
      <c r="J18" s="62">
        <f>ROUNDUP(E18*0.75,2)</f>
        <v>22.5</v>
      </c>
      <c r="K18" s="62" t="s">
        <v>27</v>
      </c>
      <c r="L18" s="62"/>
      <c r="M18" s="62">
        <f>ROUNDUP((R5*E18)+(R6*J18)+(R7*(E18*2)),2)</f>
        <v>0</v>
      </c>
      <c r="N18" s="92">
        <f>M18</f>
        <v>0</v>
      </c>
      <c r="O18" s="80" t="s">
        <v>241</v>
      </c>
      <c r="P18" s="63" t="s">
        <v>33</v>
      </c>
      <c r="Q18" s="61"/>
      <c r="R18" s="64">
        <v>0.3</v>
      </c>
      <c r="S18" s="65">
        <f>ROUNDUP(R18*0.75,2)</f>
        <v>0.23</v>
      </c>
      <c r="T18" s="76">
        <f>ROUNDUP((R5*R18)+(R6*S18)+(R7*(R18*2)),2)</f>
        <v>0</v>
      </c>
    </row>
    <row r="19" spans="1:20" ht="18.75" customHeight="1" x14ac:dyDescent="0.15">
      <c r="A19" s="232"/>
      <c r="B19" s="80" t="s">
        <v>272</v>
      </c>
      <c r="C19" s="60" t="s">
        <v>201</v>
      </c>
      <c r="D19" s="61"/>
      <c r="E19" s="65">
        <v>20</v>
      </c>
      <c r="F19" s="62" t="s">
        <v>27</v>
      </c>
      <c r="G19" s="84"/>
      <c r="H19" s="88" t="s">
        <v>201</v>
      </c>
      <c r="I19" s="61"/>
      <c r="J19" s="62">
        <f>ROUNDUP(E19*0.75,2)</f>
        <v>15</v>
      </c>
      <c r="K19" s="62" t="s">
        <v>27</v>
      </c>
      <c r="L19" s="62"/>
      <c r="M19" s="62">
        <f>ROUNDUP((R5*E19)+(R6*J19)+(R7*(E19*2)),2)</f>
        <v>0</v>
      </c>
      <c r="N19" s="92">
        <f>M19</f>
        <v>0</v>
      </c>
      <c r="O19" s="80" t="s">
        <v>245</v>
      </c>
      <c r="P19" s="63" t="s">
        <v>35</v>
      </c>
      <c r="Q19" s="61" t="s">
        <v>36</v>
      </c>
      <c r="R19" s="64">
        <v>0.3</v>
      </c>
      <c r="S19" s="65">
        <f>ROUNDUP(R19*0.75,2)</f>
        <v>0.23</v>
      </c>
      <c r="T19" s="76">
        <f>ROUNDUP((R5*R19)+(R6*S19)+(R7*(R19*2)),2)</f>
        <v>0</v>
      </c>
    </row>
    <row r="20" spans="1:20" ht="18.75" customHeight="1" x14ac:dyDescent="0.15">
      <c r="A20" s="232"/>
      <c r="B20" s="80"/>
      <c r="C20" s="60" t="s">
        <v>116</v>
      </c>
      <c r="D20" s="61"/>
      <c r="E20" s="65">
        <v>2</v>
      </c>
      <c r="F20" s="62" t="s">
        <v>27</v>
      </c>
      <c r="G20" s="84"/>
      <c r="H20" s="88" t="s">
        <v>116</v>
      </c>
      <c r="I20" s="61"/>
      <c r="J20" s="62">
        <f>ROUNDUP(E20*0.75,2)</f>
        <v>1.5</v>
      </c>
      <c r="K20" s="62" t="s">
        <v>27</v>
      </c>
      <c r="L20" s="62"/>
      <c r="M20" s="62">
        <f>ROUNDUP((R5*E20)+(R6*J20)+(R7*(E20*2)),2)</f>
        <v>0</v>
      </c>
      <c r="N20" s="92">
        <f>M20</f>
        <v>0</v>
      </c>
      <c r="O20" s="80" t="s">
        <v>44</v>
      </c>
      <c r="P20" s="63" t="s">
        <v>40</v>
      </c>
      <c r="Q20" s="61" t="s">
        <v>41</v>
      </c>
      <c r="R20" s="64">
        <v>4</v>
      </c>
      <c r="S20" s="65">
        <f>ROUNDUP(R20*0.75,2)</f>
        <v>3</v>
      </c>
      <c r="T20" s="76">
        <f>ROUNDUP((R5*R20)+(R6*S20)+(R7*(R20*2)),2)</f>
        <v>0</v>
      </c>
    </row>
    <row r="21" spans="1:20" ht="18.75" customHeight="1" x14ac:dyDescent="0.15">
      <c r="A21" s="232"/>
      <c r="B21" s="80"/>
      <c r="C21" s="60"/>
      <c r="D21" s="61"/>
      <c r="E21" s="65"/>
      <c r="F21" s="62"/>
      <c r="G21" s="84"/>
      <c r="H21" s="88"/>
      <c r="I21" s="61"/>
      <c r="J21" s="62"/>
      <c r="K21" s="62"/>
      <c r="L21" s="62"/>
      <c r="M21" s="62"/>
      <c r="N21" s="92"/>
      <c r="O21" s="80"/>
      <c r="P21" s="63"/>
      <c r="Q21" s="61"/>
      <c r="R21" s="64"/>
      <c r="S21" s="65"/>
      <c r="T21" s="76"/>
    </row>
    <row r="22" spans="1:20" ht="18.75" customHeight="1" x14ac:dyDescent="0.15">
      <c r="A22" s="232"/>
      <c r="B22" s="79"/>
      <c r="C22" s="54"/>
      <c r="D22" s="55"/>
      <c r="E22" s="56"/>
      <c r="F22" s="57"/>
      <c r="G22" s="83"/>
      <c r="H22" s="87"/>
      <c r="I22" s="55"/>
      <c r="J22" s="57"/>
      <c r="K22" s="57"/>
      <c r="L22" s="57"/>
      <c r="M22" s="57"/>
      <c r="N22" s="91"/>
      <c r="O22" s="79"/>
      <c r="P22" s="58"/>
      <c r="Q22" s="55"/>
      <c r="R22" s="59"/>
      <c r="S22" s="56"/>
      <c r="T22" s="75"/>
    </row>
    <row r="23" spans="1:20" ht="18.75" customHeight="1" x14ac:dyDescent="0.15">
      <c r="A23" s="232"/>
      <c r="B23" s="80" t="s">
        <v>117</v>
      </c>
      <c r="C23" s="60" t="s">
        <v>118</v>
      </c>
      <c r="D23" s="61"/>
      <c r="E23" s="65">
        <v>25</v>
      </c>
      <c r="F23" s="62" t="s">
        <v>27</v>
      </c>
      <c r="G23" s="84"/>
      <c r="H23" s="88" t="s">
        <v>118</v>
      </c>
      <c r="I23" s="61"/>
      <c r="J23" s="62">
        <f>ROUNDUP(E23*0.75,2)</f>
        <v>18.75</v>
      </c>
      <c r="K23" s="62" t="s">
        <v>27</v>
      </c>
      <c r="L23" s="62"/>
      <c r="M23" s="62">
        <f>ROUNDUP((R5*E23)+(R6*J23)+(R7*(E23*2)),2)</f>
        <v>0</v>
      </c>
      <c r="N23" s="92">
        <f>M23</f>
        <v>0</v>
      </c>
      <c r="O23" s="80"/>
      <c r="P23" s="63"/>
      <c r="Q23" s="61"/>
      <c r="R23" s="64"/>
      <c r="S23" s="65"/>
      <c r="T23" s="76"/>
    </row>
    <row r="24" spans="1:20" ht="18.75" customHeight="1" thickBot="1" x14ac:dyDescent="0.2">
      <c r="A24" s="233"/>
      <c r="B24" s="81"/>
      <c r="C24" s="67"/>
      <c r="D24" s="68"/>
      <c r="E24" s="69"/>
      <c r="F24" s="70"/>
      <c r="G24" s="85"/>
      <c r="H24" s="89"/>
      <c r="I24" s="68"/>
      <c r="J24" s="70"/>
      <c r="K24" s="70"/>
      <c r="L24" s="70"/>
      <c r="M24" s="70"/>
      <c r="N24" s="93"/>
      <c r="O24" s="81"/>
      <c r="P24" s="71"/>
      <c r="Q24" s="68"/>
      <c r="R24" s="72"/>
      <c r="S24" s="69"/>
      <c r="T24" s="77"/>
    </row>
  </sheetData>
  <mergeCells count="5">
    <mergeCell ref="H1:O1"/>
    <mergeCell ref="A2:T2"/>
    <mergeCell ref="Q3:T3"/>
    <mergeCell ref="A8:F8"/>
    <mergeCell ref="A10:A24"/>
  </mergeCells>
  <phoneticPr fontId="19"/>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DD41-D89C-4FCC-B320-FA97E447AC3A}">
  <sheetPr>
    <pageSetUpPr fitToPage="1"/>
  </sheetPr>
  <dimension ref="A1:U60"/>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243</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335</v>
      </c>
      <c r="C13" s="120" t="s">
        <v>93</v>
      </c>
      <c r="D13" s="120"/>
      <c r="E13" s="61"/>
      <c r="F13" s="61"/>
      <c r="G13" s="120"/>
      <c r="H13" s="119">
        <v>15</v>
      </c>
      <c r="I13" s="120" t="s">
        <v>336</v>
      </c>
      <c r="J13" s="127" t="s">
        <v>156</v>
      </c>
      <c r="K13" s="119">
        <v>10</v>
      </c>
      <c r="L13" s="120" t="s">
        <v>337</v>
      </c>
      <c r="M13" s="120" t="s">
        <v>30</v>
      </c>
      <c r="N13" s="119">
        <v>10</v>
      </c>
      <c r="O13" s="118"/>
    </row>
    <row r="14" spans="1:21" ht="14.25" x14ac:dyDescent="0.15">
      <c r="A14" s="255"/>
      <c r="B14" s="120"/>
      <c r="C14" s="120" t="s">
        <v>30</v>
      </c>
      <c r="D14" s="120"/>
      <c r="E14" s="61"/>
      <c r="F14" s="61"/>
      <c r="G14" s="120"/>
      <c r="H14" s="119">
        <v>10</v>
      </c>
      <c r="I14" s="120"/>
      <c r="J14" s="120" t="s">
        <v>30</v>
      </c>
      <c r="K14" s="119">
        <v>10</v>
      </c>
      <c r="L14" s="120"/>
      <c r="M14" s="120" t="s">
        <v>38</v>
      </c>
      <c r="N14" s="119">
        <v>10</v>
      </c>
      <c r="O14" s="118"/>
    </row>
    <row r="15" spans="1:21" ht="14.25" x14ac:dyDescent="0.15">
      <c r="A15" s="255"/>
      <c r="B15" s="120"/>
      <c r="C15" s="120" t="s">
        <v>38</v>
      </c>
      <c r="D15" s="120"/>
      <c r="E15" s="61"/>
      <c r="F15" s="61"/>
      <c r="G15" s="120"/>
      <c r="H15" s="119">
        <v>20</v>
      </c>
      <c r="I15" s="120"/>
      <c r="J15" s="120" t="s">
        <v>38</v>
      </c>
      <c r="K15" s="119">
        <v>15</v>
      </c>
      <c r="L15" s="120"/>
      <c r="M15" s="120" t="s">
        <v>200</v>
      </c>
      <c r="N15" s="119">
        <v>5</v>
      </c>
      <c r="O15" s="118"/>
    </row>
    <row r="16" spans="1:21" ht="14.25" x14ac:dyDescent="0.15">
      <c r="A16" s="255"/>
      <c r="B16" s="120"/>
      <c r="C16" s="120" t="s">
        <v>200</v>
      </c>
      <c r="D16" s="120"/>
      <c r="E16" s="61"/>
      <c r="F16" s="61"/>
      <c r="G16" s="120"/>
      <c r="H16" s="119">
        <v>5</v>
      </c>
      <c r="I16" s="120"/>
      <c r="J16" s="120" t="s">
        <v>200</v>
      </c>
      <c r="K16" s="119">
        <v>5</v>
      </c>
      <c r="L16" s="120"/>
      <c r="M16" s="120" t="s">
        <v>101</v>
      </c>
      <c r="N16" s="119">
        <v>10</v>
      </c>
      <c r="O16" s="118"/>
    </row>
    <row r="17" spans="1:15" ht="14.25" x14ac:dyDescent="0.15">
      <c r="A17" s="255"/>
      <c r="B17" s="120"/>
      <c r="C17" s="120" t="s">
        <v>101</v>
      </c>
      <c r="D17" s="120"/>
      <c r="E17" s="61"/>
      <c r="F17" s="61"/>
      <c r="G17" s="120"/>
      <c r="H17" s="119">
        <v>20</v>
      </c>
      <c r="I17" s="120"/>
      <c r="J17" s="120" t="s">
        <v>101</v>
      </c>
      <c r="K17" s="119">
        <v>15</v>
      </c>
      <c r="L17" s="123"/>
      <c r="M17" s="123"/>
      <c r="N17" s="122"/>
      <c r="O17" s="126"/>
    </row>
    <row r="18" spans="1:15" ht="14.25" x14ac:dyDescent="0.15">
      <c r="A18" s="255"/>
      <c r="B18" s="120"/>
      <c r="C18" s="120"/>
      <c r="D18" s="120"/>
      <c r="E18" s="61"/>
      <c r="F18" s="61"/>
      <c r="G18" s="120" t="s">
        <v>53</v>
      </c>
      <c r="H18" s="119" t="s">
        <v>439</v>
      </c>
      <c r="I18" s="120"/>
      <c r="J18" s="120"/>
      <c r="K18" s="119"/>
      <c r="L18" s="120" t="s">
        <v>342</v>
      </c>
      <c r="M18" s="120" t="s">
        <v>114</v>
      </c>
      <c r="N18" s="119">
        <v>10</v>
      </c>
      <c r="O18" s="118"/>
    </row>
    <row r="19" spans="1:15" ht="14.25" x14ac:dyDescent="0.15">
      <c r="A19" s="255"/>
      <c r="B19" s="120"/>
      <c r="C19" s="120"/>
      <c r="D19" s="120"/>
      <c r="E19" s="61"/>
      <c r="F19" s="61"/>
      <c r="G19" s="120" t="s">
        <v>42</v>
      </c>
      <c r="H19" s="119" t="s">
        <v>438</v>
      </c>
      <c r="I19" s="120"/>
      <c r="J19" s="120"/>
      <c r="K19" s="119"/>
      <c r="L19" s="120"/>
      <c r="M19" s="120"/>
      <c r="N19" s="119"/>
      <c r="O19" s="118"/>
    </row>
    <row r="20" spans="1:15" ht="14.25" x14ac:dyDescent="0.15">
      <c r="A20" s="255"/>
      <c r="B20" s="123"/>
      <c r="C20" s="123"/>
      <c r="D20" s="123"/>
      <c r="E20" s="55"/>
      <c r="F20" s="55"/>
      <c r="G20" s="123"/>
      <c r="H20" s="122"/>
      <c r="I20" s="123"/>
      <c r="J20" s="123"/>
      <c r="K20" s="122"/>
      <c r="L20" s="120"/>
      <c r="M20" s="120"/>
      <c r="N20" s="119"/>
      <c r="O20" s="118"/>
    </row>
    <row r="21" spans="1:15" ht="14.25" x14ac:dyDescent="0.15">
      <c r="A21" s="255"/>
      <c r="B21" s="120" t="s">
        <v>340</v>
      </c>
      <c r="C21" s="120" t="s">
        <v>114</v>
      </c>
      <c r="D21" s="120"/>
      <c r="E21" s="61"/>
      <c r="F21" s="61"/>
      <c r="G21" s="120"/>
      <c r="H21" s="119">
        <v>10</v>
      </c>
      <c r="I21" s="120" t="s">
        <v>341</v>
      </c>
      <c r="J21" s="120" t="s">
        <v>114</v>
      </c>
      <c r="K21" s="119">
        <v>10</v>
      </c>
      <c r="L21" s="120"/>
      <c r="M21" s="120"/>
      <c r="N21" s="119"/>
      <c r="O21" s="118"/>
    </row>
    <row r="22" spans="1:15" ht="14.25" x14ac:dyDescent="0.15">
      <c r="A22" s="255"/>
      <c r="B22" s="120"/>
      <c r="C22" s="120" t="s">
        <v>201</v>
      </c>
      <c r="D22" s="120"/>
      <c r="E22" s="61"/>
      <c r="F22" s="61"/>
      <c r="G22" s="120"/>
      <c r="H22" s="119">
        <v>10</v>
      </c>
      <c r="I22" s="120"/>
      <c r="J22" s="120"/>
      <c r="K22" s="119"/>
      <c r="L22" s="120"/>
      <c r="M22" s="120"/>
      <c r="N22" s="119"/>
      <c r="O22" s="118"/>
    </row>
    <row r="23" spans="1:15" ht="15" thickBot="1" x14ac:dyDescent="0.2">
      <c r="A23" s="256"/>
      <c r="B23" s="117"/>
      <c r="C23" s="117"/>
      <c r="D23" s="117"/>
      <c r="E23" s="68"/>
      <c r="F23" s="154"/>
      <c r="G23" s="117"/>
      <c r="H23" s="116"/>
      <c r="I23" s="117"/>
      <c r="J23" s="117"/>
      <c r="K23" s="116"/>
      <c r="L23" s="117"/>
      <c r="M23" s="117"/>
      <c r="N23" s="116"/>
      <c r="O23" s="115"/>
    </row>
    <row r="24" spans="1:15" ht="14.25" x14ac:dyDescent="0.15">
      <c r="B24" s="114"/>
      <c r="C24" s="114"/>
      <c r="D24" s="114"/>
      <c r="G24" s="114"/>
      <c r="H24" s="113"/>
      <c r="I24" s="114"/>
      <c r="J24" s="114"/>
      <c r="K24" s="113"/>
      <c r="L24" s="114"/>
      <c r="M24" s="114"/>
      <c r="N24" s="113"/>
    </row>
    <row r="25" spans="1:15" ht="14.25" x14ac:dyDescent="0.15">
      <c r="B25" s="114"/>
      <c r="C25" s="114"/>
      <c r="D25" s="114"/>
      <c r="G25" s="114"/>
      <c r="H25" s="113"/>
      <c r="I25" s="114"/>
      <c r="J25" s="114"/>
      <c r="K25" s="113"/>
      <c r="L25" s="114"/>
      <c r="M25" s="114"/>
      <c r="N25" s="113"/>
    </row>
    <row r="26" spans="1:15" ht="14.25" x14ac:dyDescent="0.15">
      <c r="B26" s="114"/>
      <c r="C26" s="114"/>
      <c r="D26" s="114"/>
      <c r="G26" s="114"/>
      <c r="H26" s="113"/>
      <c r="I26" s="114"/>
      <c r="J26" s="114"/>
      <c r="K26" s="113"/>
      <c r="L26" s="114"/>
      <c r="M26" s="114"/>
      <c r="N26" s="113"/>
    </row>
    <row r="27" spans="1:15" ht="14.25" x14ac:dyDescent="0.15">
      <c r="B27" s="114"/>
      <c r="C27" s="114"/>
      <c r="D27" s="114"/>
      <c r="G27" s="114"/>
      <c r="H27" s="113"/>
      <c r="I27" s="114"/>
      <c r="J27" s="114"/>
      <c r="K27" s="113"/>
      <c r="L27" s="114"/>
      <c r="M27" s="114"/>
      <c r="N27" s="113"/>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sheetData>
  <mergeCells count="15">
    <mergeCell ref="L8:N8"/>
    <mergeCell ref="O8:O10"/>
    <mergeCell ref="I9:K9"/>
    <mergeCell ref="L9:N9"/>
    <mergeCell ref="A11:A23"/>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34"/>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272" t="s">
        <v>293</v>
      </c>
      <c r="C5" s="272"/>
      <c r="D5" s="3"/>
      <c r="E5" s="6"/>
      <c r="F5" s="2"/>
      <c r="G5" s="2"/>
      <c r="H5" s="2"/>
      <c r="I5" s="3"/>
      <c r="J5" s="2"/>
      <c r="K5" s="7"/>
      <c r="L5" s="7"/>
      <c r="M5" s="7"/>
      <c r="N5" s="9"/>
      <c r="O5" s="2"/>
      <c r="P5" s="14"/>
      <c r="Q5" s="45" t="s">
        <v>6</v>
      </c>
      <c r="R5" s="46"/>
      <c r="S5" s="47"/>
      <c r="T5" s="47"/>
      <c r="U5" s="3"/>
    </row>
    <row r="6" spans="1:21" ht="22.5" customHeight="1" x14ac:dyDescent="0.15">
      <c r="A6" s="5"/>
      <c r="B6" s="272"/>
      <c r="C6" s="27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246</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247</v>
      </c>
      <c r="C10" s="48" t="s">
        <v>30</v>
      </c>
      <c r="D10" s="49"/>
      <c r="E10" s="50">
        <v>10</v>
      </c>
      <c r="F10" s="51" t="s">
        <v>27</v>
      </c>
      <c r="G10" s="82"/>
      <c r="H10" s="86" t="s">
        <v>30</v>
      </c>
      <c r="I10" s="49"/>
      <c r="J10" s="51">
        <f>ROUNDUP(E10*0.75,2)</f>
        <v>7.5</v>
      </c>
      <c r="K10" s="51" t="s">
        <v>27</v>
      </c>
      <c r="L10" s="51"/>
      <c r="M10" s="51">
        <f>ROUNDUP((R5*E10)+(R6*J10)+(R7*(E10*2)),2)</f>
        <v>0</v>
      </c>
      <c r="N10" s="90">
        <f>ROUND(M10+(M10*6/100),2)</f>
        <v>0</v>
      </c>
      <c r="O10" s="78" t="s">
        <v>248</v>
      </c>
      <c r="P10" s="52" t="s">
        <v>23</v>
      </c>
      <c r="Q10" s="49"/>
      <c r="R10" s="53">
        <v>110</v>
      </c>
      <c r="S10" s="50">
        <f>ROUNDUP(R10*0.75,2)</f>
        <v>82.5</v>
      </c>
      <c r="T10" s="74">
        <f>ROUNDUP((R5*R10)+(R6*S10)+(R7*(R10*2)),2)</f>
        <v>0</v>
      </c>
    </row>
    <row r="11" spans="1:21" ht="18.75" customHeight="1" x14ac:dyDescent="0.15">
      <c r="A11" s="232"/>
      <c r="B11" s="80"/>
      <c r="C11" s="60" t="s">
        <v>143</v>
      </c>
      <c r="D11" s="61" t="s">
        <v>62</v>
      </c>
      <c r="E11" s="65">
        <v>1</v>
      </c>
      <c r="F11" s="62" t="s">
        <v>144</v>
      </c>
      <c r="G11" s="84"/>
      <c r="H11" s="88" t="s">
        <v>143</v>
      </c>
      <c r="I11" s="61" t="s">
        <v>62</v>
      </c>
      <c r="J11" s="62">
        <f>ROUNDUP(E11*0.75,2)</f>
        <v>0.75</v>
      </c>
      <c r="K11" s="62" t="s">
        <v>144</v>
      </c>
      <c r="L11" s="62"/>
      <c r="M11" s="62">
        <f>ROUNDUP((R5*E11)+(R6*J11)+(R7*(E11*2)),2)</f>
        <v>0</v>
      </c>
      <c r="N11" s="92">
        <f>M11</f>
        <v>0</v>
      </c>
      <c r="O11" s="99" t="s">
        <v>287</v>
      </c>
      <c r="P11" s="63" t="s">
        <v>92</v>
      </c>
      <c r="Q11" s="61" t="s">
        <v>52</v>
      </c>
      <c r="R11" s="64">
        <v>1</v>
      </c>
      <c r="S11" s="65">
        <f>ROUNDUP(R11*0.75,2)</f>
        <v>0.75</v>
      </c>
      <c r="T11" s="76">
        <f>ROUNDUP((R5*R11)+(R6*S11)+(R7*(R11*2)),2)</f>
        <v>0</v>
      </c>
    </row>
    <row r="12" spans="1:21" ht="18.75" customHeight="1" x14ac:dyDescent="0.15">
      <c r="A12" s="232"/>
      <c r="B12" s="80"/>
      <c r="C12" s="60" t="s">
        <v>135</v>
      </c>
      <c r="D12" s="61" t="s">
        <v>136</v>
      </c>
      <c r="E12" s="66">
        <v>0.1</v>
      </c>
      <c r="F12" s="62" t="s">
        <v>45</v>
      </c>
      <c r="G12" s="84"/>
      <c r="H12" s="88" t="s">
        <v>135</v>
      </c>
      <c r="I12" s="61" t="s">
        <v>136</v>
      </c>
      <c r="J12" s="62">
        <f>ROUNDUP(E12*0.75,2)</f>
        <v>0.08</v>
      </c>
      <c r="K12" s="62" t="s">
        <v>45</v>
      </c>
      <c r="L12" s="62"/>
      <c r="M12" s="62">
        <f>ROUNDUP((R5*E12)+(R6*J12)+(R7*(E12*2)),2)</f>
        <v>0</v>
      </c>
      <c r="N12" s="92">
        <f>M12</f>
        <v>0</v>
      </c>
      <c r="O12" s="36" t="s">
        <v>288</v>
      </c>
      <c r="P12" s="63" t="s">
        <v>111</v>
      </c>
      <c r="Q12" s="61"/>
      <c r="R12" s="64">
        <v>7</v>
      </c>
      <c r="S12" s="65">
        <f>ROUNDUP(R12*0.75,2)</f>
        <v>5.25</v>
      </c>
      <c r="T12" s="76">
        <f>ROUNDUP((R5*R12)+(R6*S12)+(R7*(R12*2)),2)</f>
        <v>0</v>
      </c>
    </row>
    <row r="13" spans="1:21" ht="18.75" customHeight="1" x14ac:dyDescent="0.15">
      <c r="A13" s="232"/>
      <c r="B13" s="80"/>
      <c r="C13" s="60" t="s">
        <v>252</v>
      </c>
      <c r="D13" s="61" t="s">
        <v>253</v>
      </c>
      <c r="E13" s="66">
        <v>0.1</v>
      </c>
      <c r="F13" s="62" t="s">
        <v>45</v>
      </c>
      <c r="G13" s="84"/>
      <c r="H13" s="88" t="s">
        <v>252</v>
      </c>
      <c r="I13" s="61" t="s">
        <v>253</v>
      </c>
      <c r="J13" s="62">
        <f>ROUNDUP(E13*0.75,2)</f>
        <v>0.08</v>
      </c>
      <c r="K13" s="62" t="s">
        <v>45</v>
      </c>
      <c r="L13" s="62"/>
      <c r="M13" s="62">
        <f>ROUNDUP((R5*E13)+(R6*J13)+(R7*(E13*2)),2)</f>
        <v>0</v>
      </c>
      <c r="N13" s="92">
        <f>M13</f>
        <v>0</v>
      </c>
      <c r="O13" s="80" t="s">
        <v>249</v>
      </c>
      <c r="P13" s="63"/>
      <c r="Q13" s="61"/>
      <c r="R13" s="64"/>
      <c r="S13" s="65"/>
      <c r="T13" s="76"/>
    </row>
    <row r="14" spans="1:21" ht="18.75" customHeight="1" x14ac:dyDescent="0.15">
      <c r="A14" s="232"/>
      <c r="B14" s="80"/>
      <c r="C14" s="60"/>
      <c r="D14" s="61"/>
      <c r="E14" s="65"/>
      <c r="F14" s="62"/>
      <c r="G14" s="84"/>
      <c r="H14" s="88"/>
      <c r="I14" s="61"/>
      <c r="J14" s="62"/>
      <c r="K14" s="62"/>
      <c r="L14" s="62"/>
      <c r="M14" s="62"/>
      <c r="N14" s="92"/>
      <c r="O14" s="80" t="s">
        <v>250</v>
      </c>
      <c r="P14" s="63"/>
      <c r="Q14" s="61"/>
      <c r="R14" s="64"/>
      <c r="S14" s="65"/>
      <c r="T14" s="76"/>
    </row>
    <row r="15" spans="1:21" ht="18.75" customHeight="1" x14ac:dyDescent="0.15">
      <c r="A15" s="232"/>
      <c r="B15" s="80"/>
      <c r="C15" s="60"/>
      <c r="D15" s="61"/>
      <c r="E15" s="65"/>
      <c r="F15" s="62"/>
      <c r="G15" s="84"/>
      <c r="H15" s="88"/>
      <c r="I15" s="61"/>
      <c r="J15" s="62"/>
      <c r="K15" s="62"/>
      <c r="L15" s="62"/>
      <c r="M15" s="62"/>
      <c r="N15" s="92"/>
      <c r="O15" s="99" t="s">
        <v>285</v>
      </c>
      <c r="P15" s="63"/>
      <c r="Q15" s="61"/>
      <c r="R15" s="64"/>
      <c r="S15" s="65"/>
      <c r="T15" s="76"/>
    </row>
    <row r="16" spans="1:21" ht="18.75" customHeight="1" x14ac:dyDescent="0.15">
      <c r="A16" s="232"/>
      <c r="B16" s="80"/>
      <c r="C16" s="60"/>
      <c r="D16" s="61"/>
      <c r="E16" s="65"/>
      <c r="F16" s="62"/>
      <c r="G16" s="84"/>
      <c r="H16" s="88"/>
      <c r="I16" s="61"/>
      <c r="J16" s="62"/>
      <c r="K16" s="62"/>
      <c r="L16" s="62"/>
      <c r="M16" s="62"/>
      <c r="N16" s="92"/>
      <c r="O16" s="100" t="s">
        <v>286</v>
      </c>
      <c r="P16" s="63"/>
      <c r="Q16" s="61"/>
      <c r="R16" s="64"/>
      <c r="S16" s="65"/>
      <c r="T16" s="76"/>
    </row>
    <row r="17" spans="1:20" ht="18.75" customHeight="1" x14ac:dyDescent="0.15">
      <c r="A17" s="232"/>
      <c r="B17" s="80"/>
      <c r="C17" s="60"/>
      <c r="D17" s="61"/>
      <c r="E17" s="65"/>
      <c r="F17" s="62"/>
      <c r="G17" s="84"/>
      <c r="H17" s="88"/>
      <c r="I17" s="61"/>
      <c r="J17" s="62"/>
      <c r="K17" s="62"/>
      <c r="L17" s="62"/>
      <c r="M17" s="62"/>
      <c r="N17" s="92"/>
      <c r="O17" s="80" t="s">
        <v>251</v>
      </c>
      <c r="P17" s="63"/>
      <c r="Q17" s="61"/>
      <c r="R17" s="64"/>
      <c r="S17" s="65"/>
      <c r="T17" s="76"/>
    </row>
    <row r="18" spans="1:20" ht="18.75" customHeight="1" x14ac:dyDescent="0.15">
      <c r="A18" s="232"/>
      <c r="B18" s="80"/>
      <c r="C18" s="60"/>
      <c r="D18" s="61"/>
      <c r="E18" s="65"/>
      <c r="F18" s="62"/>
      <c r="G18" s="84"/>
      <c r="H18" s="88"/>
      <c r="I18" s="61"/>
      <c r="J18" s="62"/>
      <c r="K18" s="62"/>
      <c r="L18" s="62"/>
      <c r="M18" s="62"/>
      <c r="N18" s="92"/>
      <c r="O18" s="80" t="s">
        <v>44</v>
      </c>
      <c r="P18" s="63"/>
      <c r="Q18" s="61"/>
      <c r="R18" s="64"/>
      <c r="S18" s="65"/>
      <c r="T18" s="76"/>
    </row>
    <row r="19" spans="1:20" ht="18.75" customHeight="1" x14ac:dyDescent="0.15">
      <c r="A19" s="232"/>
      <c r="B19" s="79"/>
      <c r="C19" s="54"/>
      <c r="D19" s="55"/>
      <c r="E19" s="56"/>
      <c r="F19" s="57"/>
      <c r="G19" s="83"/>
      <c r="H19" s="87"/>
      <c r="I19" s="55"/>
      <c r="J19" s="57"/>
      <c r="K19" s="57"/>
      <c r="L19" s="57"/>
      <c r="M19" s="57"/>
      <c r="N19" s="91"/>
      <c r="O19" s="79"/>
      <c r="P19" s="58"/>
      <c r="Q19" s="55"/>
      <c r="R19" s="59"/>
      <c r="S19" s="56"/>
      <c r="T19" s="75"/>
    </row>
    <row r="20" spans="1:20" ht="18.75" customHeight="1" x14ac:dyDescent="0.15">
      <c r="A20" s="232"/>
      <c r="B20" s="80" t="s">
        <v>289</v>
      </c>
      <c r="C20" s="60" t="s">
        <v>93</v>
      </c>
      <c r="D20" s="61"/>
      <c r="E20" s="65">
        <v>20</v>
      </c>
      <c r="F20" s="62" t="s">
        <v>27</v>
      </c>
      <c r="G20" s="84"/>
      <c r="H20" s="88" t="s">
        <v>93</v>
      </c>
      <c r="I20" s="61"/>
      <c r="J20" s="62">
        <f>ROUNDUP(E20*0.75,2)</f>
        <v>15</v>
      </c>
      <c r="K20" s="62" t="s">
        <v>27</v>
      </c>
      <c r="L20" s="62"/>
      <c r="M20" s="62">
        <f>ROUNDUP((R5*E20)+(R6*J20)+(R7*(E20*2)),2)</f>
        <v>0</v>
      </c>
      <c r="N20" s="92">
        <f>M20</f>
        <v>0</v>
      </c>
      <c r="O20" s="80" t="s">
        <v>254</v>
      </c>
      <c r="P20" s="63" t="s">
        <v>65</v>
      </c>
      <c r="Q20" s="61"/>
      <c r="R20" s="64">
        <v>0.5</v>
      </c>
      <c r="S20" s="65">
        <f>ROUNDUP(R20*0.75,2)</f>
        <v>0.38</v>
      </c>
      <c r="T20" s="76">
        <f>ROUNDUP((R5*R20)+(R6*S20)+(R7*(R20*2)),2)</f>
        <v>0</v>
      </c>
    </row>
    <row r="21" spans="1:20" ht="18.75" customHeight="1" x14ac:dyDescent="0.15">
      <c r="A21" s="232"/>
      <c r="B21" s="80" t="s">
        <v>290</v>
      </c>
      <c r="C21" s="60" t="s">
        <v>61</v>
      </c>
      <c r="D21" s="61" t="s">
        <v>62</v>
      </c>
      <c r="E21" s="96">
        <v>0.5</v>
      </c>
      <c r="F21" s="62" t="s">
        <v>63</v>
      </c>
      <c r="G21" s="84"/>
      <c r="H21" s="88" t="s">
        <v>61</v>
      </c>
      <c r="I21" s="61" t="s">
        <v>62</v>
      </c>
      <c r="J21" s="62">
        <f>ROUNDUP(E21*0.75,2)</f>
        <v>0.38</v>
      </c>
      <c r="K21" s="62" t="s">
        <v>63</v>
      </c>
      <c r="L21" s="62"/>
      <c r="M21" s="62">
        <f>ROUNDUP((R5*E21)+(R6*J21)+(R7*(E21*2)),2)</f>
        <v>0</v>
      </c>
      <c r="N21" s="92">
        <f>M21</f>
        <v>0</v>
      </c>
      <c r="O21" s="80" t="s">
        <v>255</v>
      </c>
      <c r="P21" s="63" t="s">
        <v>28</v>
      </c>
      <c r="Q21" s="61"/>
      <c r="R21" s="64">
        <v>1</v>
      </c>
      <c r="S21" s="65">
        <f>ROUNDUP(R21*0.75,2)</f>
        <v>0.75</v>
      </c>
      <c r="T21" s="76">
        <f>ROUNDUP((R5*R21)+(R6*S21)+(R7*(R21*2)),2)</f>
        <v>0</v>
      </c>
    </row>
    <row r="22" spans="1:20" ht="18.75" customHeight="1" x14ac:dyDescent="0.15">
      <c r="A22" s="232"/>
      <c r="B22" s="80"/>
      <c r="C22" s="60" t="s">
        <v>257</v>
      </c>
      <c r="D22" s="61"/>
      <c r="E22" s="65">
        <v>20</v>
      </c>
      <c r="F22" s="62" t="s">
        <v>27</v>
      </c>
      <c r="G22" s="84"/>
      <c r="H22" s="88" t="s">
        <v>257</v>
      </c>
      <c r="I22" s="61"/>
      <c r="J22" s="62">
        <f>ROUNDUP(E22*0.75,2)</f>
        <v>15</v>
      </c>
      <c r="K22" s="62" t="s">
        <v>27</v>
      </c>
      <c r="L22" s="62"/>
      <c r="M22" s="62">
        <f>ROUNDUP((R5*E22)+(R6*J22)+(R7*(E22*2)),2)</f>
        <v>0</v>
      </c>
      <c r="N22" s="92">
        <f>ROUND(M22+(M22*10/100),2)</f>
        <v>0</v>
      </c>
      <c r="O22" s="80" t="s">
        <v>256</v>
      </c>
      <c r="P22" s="63" t="s">
        <v>28</v>
      </c>
      <c r="Q22" s="61"/>
      <c r="R22" s="64">
        <v>1.5</v>
      </c>
      <c r="S22" s="65">
        <f>ROUNDUP(R22*0.75,2)</f>
        <v>1.1300000000000001</v>
      </c>
      <c r="T22" s="76">
        <f>ROUNDUP((R5*R22)+(R6*S22)+(R7*(R22*2)),2)</f>
        <v>0</v>
      </c>
    </row>
    <row r="23" spans="1:20" ht="18.75" customHeight="1" x14ac:dyDescent="0.15">
      <c r="A23" s="232"/>
      <c r="B23" s="80"/>
      <c r="C23" s="60" t="s">
        <v>172</v>
      </c>
      <c r="D23" s="61"/>
      <c r="E23" s="65">
        <v>5</v>
      </c>
      <c r="F23" s="62" t="s">
        <v>27</v>
      </c>
      <c r="G23" s="84"/>
      <c r="H23" s="88" t="s">
        <v>172</v>
      </c>
      <c r="I23" s="61"/>
      <c r="J23" s="62">
        <f>ROUNDUP(E23*0.75,2)</f>
        <v>3.75</v>
      </c>
      <c r="K23" s="62" t="s">
        <v>27</v>
      </c>
      <c r="L23" s="62"/>
      <c r="M23" s="62">
        <f>ROUNDUP((R5*E23)+(R6*J23)+(R7*(E23*2)),2)</f>
        <v>0</v>
      </c>
      <c r="N23" s="92">
        <f>ROUND(M23+(M23*10/100),2)</f>
        <v>0</v>
      </c>
      <c r="O23" s="80" t="s">
        <v>24</v>
      </c>
      <c r="P23" s="63" t="s">
        <v>178</v>
      </c>
      <c r="Q23" s="61"/>
      <c r="R23" s="64">
        <v>0.5</v>
      </c>
      <c r="S23" s="65">
        <f>ROUNDUP(R23*0.75,2)</f>
        <v>0.38</v>
      </c>
      <c r="T23" s="76">
        <f>ROUNDUP((R5*R23)+(R6*S23)+(R7*(R23*2)),2)</f>
        <v>0</v>
      </c>
    </row>
    <row r="24" spans="1:20" ht="18.75" customHeight="1" x14ac:dyDescent="0.15">
      <c r="A24" s="232"/>
      <c r="B24" s="80"/>
      <c r="C24" s="60" t="s">
        <v>173</v>
      </c>
      <c r="D24" s="61"/>
      <c r="E24" s="65">
        <v>5</v>
      </c>
      <c r="F24" s="62" t="s">
        <v>27</v>
      </c>
      <c r="G24" s="84"/>
      <c r="H24" s="88" t="s">
        <v>173</v>
      </c>
      <c r="I24" s="61"/>
      <c r="J24" s="62">
        <f>ROUNDUP(E24*0.75,2)</f>
        <v>3.75</v>
      </c>
      <c r="K24" s="62" t="s">
        <v>27</v>
      </c>
      <c r="L24" s="62"/>
      <c r="M24" s="62">
        <f>ROUNDUP((R5*E24)+(R6*J24)+(R7*(E24*2)),2)</f>
        <v>0</v>
      </c>
      <c r="N24" s="92">
        <f>ROUND(M24+(M24*15/100),2)</f>
        <v>0</v>
      </c>
      <c r="O24" s="80"/>
      <c r="P24" s="63" t="s">
        <v>35</v>
      </c>
      <c r="Q24" s="61" t="s">
        <v>36</v>
      </c>
      <c r="R24" s="64">
        <v>0.3</v>
      </c>
      <c r="S24" s="65">
        <f>ROUNDUP(R24*0.75,2)</f>
        <v>0.23</v>
      </c>
      <c r="T24" s="76">
        <f>ROUNDUP((R5*R24)+(R6*S24)+(R7*(R24*2)),2)</f>
        <v>0</v>
      </c>
    </row>
    <row r="25" spans="1:20" ht="18.75" customHeight="1" x14ac:dyDescent="0.15">
      <c r="A25" s="232"/>
      <c r="B25" s="79"/>
      <c r="C25" s="54"/>
      <c r="D25" s="55"/>
      <c r="E25" s="56"/>
      <c r="F25" s="57"/>
      <c r="G25" s="83"/>
      <c r="H25" s="87"/>
      <c r="I25" s="55"/>
      <c r="J25" s="57"/>
      <c r="K25" s="57"/>
      <c r="L25" s="57"/>
      <c r="M25" s="57"/>
      <c r="N25" s="91"/>
      <c r="O25" s="79"/>
      <c r="P25" s="58"/>
      <c r="Q25" s="55"/>
      <c r="R25" s="59"/>
      <c r="S25" s="56"/>
      <c r="T25" s="75"/>
    </row>
    <row r="26" spans="1:20" ht="18.75" customHeight="1" x14ac:dyDescent="0.15">
      <c r="A26" s="232"/>
      <c r="B26" s="80" t="s">
        <v>183</v>
      </c>
      <c r="C26" s="60" t="s">
        <v>177</v>
      </c>
      <c r="D26" s="61"/>
      <c r="E26" s="65">
        <v>20</v>
      </c>
      <c r="F26" s="62" t="s">
        <v>27</v>
      </c>
      <c r="G26" s="84"/>
      <c r="H26" s="88" t="s">
        <v>177</v>
      </c>
      <c r="I26" s="61"/>
      <c r="J26" s="62">
        <f>ROUNDUP(E26*0.75,2)</f>
        <v>15</v>
      </c>
      <c r="K26" s="62" t="s">
        <v>27</v>
      </c>
      <c r="L26" s="62"/>
      <c r="M26" s="62">
        <f>ROUNDUP((R5*E26)+(R6*J26)+(R7*(E26*2)),2)</f>
        <v>0</v>
      </c>
      <c r="N26" s="92">
        <f>ROUND(M26+(M26*6/100),2)</f>
        <v>0</v>
      </c>
      <c r="O26" s="80" t="s">
        <v>24</v>
      </c>
      <c r="P26" s="63" t="s">
        <v>32</v>
      </c>
      <c r="Q26" s="61"/>
      <c r="R26" s="64">
        <v>100</v>
      </c>
      <c r="S26" s="65">
        <f>ROUNDUP(R26*0.75,2)</f>
        <v>75</v>
      </c>
      <c r="T26" s="76">
        <f>ROUNDUP((R5*R26)+(R6*S26)+(R7*(R26*2)),2)</f>
        <v>0</v>
      </c>
    </row>
    <row r="27" spans="1:20" ht="18.75" customHeight="1" x14ac:dyDescent="0.15">
      <c r="A27" s="232"/>
      <c r="B27" s="80"/>
      <c r="C27" s="60" t="s">
        <v>179</v>
      </c>
      <c r="D27" s="61" t="s">
        <v>180</v>
      </c>
      <c r="E27" s="65">
        <v>5</v>
      </c>
      <c r="F27" s="62" t="s">
        <v>27</v>
      </c>
      <c r="G27" s="84"/>
      <c r="H27" s="88" t="s">
        <v>179</v>
      </c>
      <c r="I27" s="61" t="s">
        <v>180</v>
      </c>
      <c r="J27" s="62">
        <f>ROUNDUP(E27*0.75,2)</f>
        <v>3.75</v>
      </c>
      <c r="K27" s="62" t="s">
        <v>27</v>
      </c>
      <c r="L27" s="62"/>
      <c r="M27" s="62">
        <f>ROUNDUP((R5*E27)+(R6*J27)+(R7*(E27*2)),2)</f>
        <v>0</v>
      </c>
      <c r="N27" s="92">
        <f>M27</f>
        <v>0</v>
      </c>
      <c r="O27" s="80"/>
      <c r="P27" s="63" t="s">
        <v>42</v>
      </c>
      <c r="Q27" s="61"/>
      <c r="R27" s="64">
        <v>0.1</v>
      </c>
      <c r="S27" s="65">
        <f>ROUNDUP(R27*0.75,2)</f>
        <v>0.08</v>
      </c>
      <c r="T27" s="76">
        <f>ROUNDUP((R5*R27)+(R6*S27)+(R7*(R27*2)),2)</f>
        <v>0</v>
      </c>
    </row>
    <row r="28" spans="1:20" ht="18.75" customHeight="1" x14ac:dyDescent="0.15">
      <c r="A28" s="232"/>
      <c r="B28" s="80"/>
      <c r="C28" s="60"/>
      <c r="D28" s="61"/>
      <c r="E28" s="65"/>
      <c r="F28" s="62"/>
      <c r="G28" s="84"/>
      <c r="H28" s="88"/>
      <c r="I28" s="61"/>
      <c r="J28" s="62"/>
      <c r="K28" s="62"/>
      <c r="L28" s="62"/>
      <c r="M28" s="62"/>
      <c r="N28" s="92"/>
      <c r="O28" s="80"/>
      <c r="P28" s="63" t="s">
        <v>35</v>
      </c>
      <c r="Q28" s="61" t="s">
        <v>36</v>
      </c>
      <c r="R28" s="64">
        <v>0.5</v>
      </c>
      <c r="S28" s="65">
        <f>ROUNDUP(R28*0.75,2)</f>
        <v>0.38</v>
      </c>
      <c r="T28" s="76">
        <f>ROUNDUP((R5*R28)+(R6*S28)+(R7*(R28*2)),2)</f>
        <v>0</v>
      </c>
    </row>
    <row r="29" spans="1:20" ht="18.75" customHeight="1" x14ac:dyDescent="0.15">
      <c r="A29" s="232"/>
      <c r="B29" s="79"/>
      <c r="C29" s="54"/>
      <c r="D29" s="55"/>
      <c r="E29" s="56"/>
      <c r="F29" s="57"/>
      <c r="G29" s="83"/>
      <c r="H29" s="87"/>
      <c r="I29" s="55"/>
      <c r="J29" s="57"/>
      <c r="K29" s="57"/>
      <c r="L29" s="57"/>
      <c r="M29" s="57"/>
      <c r="N29" s="91"/>
      <c r="O29" s="79"/>
      <c r="P29" s="58"/>
      <c r="Q29" s="55"/>
      <c r="R29" s="59"/>
      <c r="S29" s="56"/>
      <c r="T29" s="75"/>
    </row>
    <row r="30" spans="1:20" ht="18.75" customHeight="1" x14ac:dyDescent="0.15">
      <c r="A30" s="232"/>
      <c r="B30" s="80" t="s">
        <v>47</v>
      </c>
      <c r="C30" s="60" t="s">
        <v>51</v>
      </c>
      <c r="D30" s="61" t="s">
        <v>52</v>
      </c>
      <c r="E30" s="65">
        <v>40</v>
      </c>
      <c r="F30" s="62" t="s">
        <v>27</v>
      </c>
      <c r="G30" s="84"/>
      <c r="H30" s="88" t="s">
        <v>51</v>
      </c>
      <c r="I30" s="61" t="s">
        <v>52</v>
      </c>
      <c r="J30" s="62">
        <f>ROUNDUP(E30*0.75,2)</f>
        <v>30</v>
      </c>
      <c r="K30" s="62" t="s">
        <v>27</v>
      </c>
      <c r="L30" s="62"/>
      <c r="M30" s="62">
        <f>ROUNDUP((R5*E30)+(R6*J30)+(R7*(E30*2)),2)</f>
        <v>0</v>
      </c>
      <c r="N30" s="92">
        <f>M30</f>
        <v>0</v>
      </c>
      <c r="O30" s="80" t="s">
        <v>48</v>
      </c>
      <c r="P30" s="63" t="s">
        <v>33</v>
      </c>
      <c r="Q30" s="61"/>
      <c r="R30" s="64">
        <v>1</v>
      </c>
      <c r="S30" s="65">
        <f>ROUNDUP(R30*0.75,2)</f>
        <v>0.75</v>
      </c>
      <c r="T30" s="76">
        <f>ROUNDUP((R5*R30)+(R6*S30)+(R7*(R30*2)),2)</f>
        <v>0</v>
      </c>
    </row>
    <row r="31" spans="1:20" ht="18.75" customHeight="1" x14ac:dyDescent="0.15">
      <c r="A31" s="232"/>
      <c r="B31" s="80"/>
      <c r="C31" s="60"/>
      <c r="D31" s="61"/>
      <c r="E31" s="65"/>
      <c r="F31" s="62"/>
      <c r="G31" s="84"/>
      <c r="H31" s="88"/>
      <c r="I31" s="61"/>
      <c r="J31" s="62"/>
      <c r="K31" s="62"/>
      <c r="L31" s="62"/>
      <c r="M31" s="62"/>
      <c r="N31" s="92"/>
      <c r="O31" s="80" t="s">
        <v>49</v>
      </c>
      <c r="P31" s="63" t="s">
        <v>53</v>
      </c>
      <c r="Q31" s="61"/>
      <c r="R31" s="64">
        <v>3</v>
      </c>
      <c r="S31" s="65">
        <f>ROUNDUP(R31*0.75,2)</f>
        <v>2.25</v>
      </c>
      <c r="T31" s="76">
        <f>ROUNDUP((R5*R31)+(R6*S31)+(R7*(R31*2)),2)</f>
        <v>0</v>
      </c>
    </row>
    <row r="32" spans="1:20" ht="18.75" customHeight="1" x14ac:dyDescent="0.15">
      <c r="A32" s="232"/>
      <c r="B32" s="80"/>
      <c r="C32" s="60"/>
      <c r="D32" s="61"/>
      <c r="E32" s="65"/>
      <c r="F32" s="62"/>
      <c r="G32" s="84"/>
      <c r="H32" s="88"/>
      <c r="I32" s="61"/>
      <c r="J32" s="62"/>
      <c r="K32" s="62"/>
      <c r="L32" s="62"/>
      <c r="M32" s="62"/>
      <c r="N32" s="92"/>
      <c r="O32" s="80" t="s">
        <v>50</v>
      </c>
      <c r="P32" s="63"/>
      <c r="Q32" s="61"/>
      <c r="R32" s="64"/>
      <c r="S32" s="65"/>
      <c r="T32" s="76"/>
    </row>
    <row r="33" spans="1:20" ht="18.75" customHeight="1" x14ac:dyDescent="0.15">
      <c r="A33" s="232"/>
      <c r="B33" s="80"/>
      <c r="C33" s="60"/>
      <c r="D33" s="61"/>
      <c r="E33" s="65"/>
      <c r="F33" s="62"/>
      <c r="G33" s="84"/>
      <c r="H33" s="88"/>
      <c r="I33" s="61"/>
      <c r="J33" s="62"/>
      <c r="K33" s="62"/>
      <c r="L33" s="62"/>
      <c r="M33" s="62"/>
      <c r="N33" s="92"/>
      <c r="O33" s="80" t="s">
        <v>24</v>
      </c>
      <c r="P33" s="63"/>
      <c r="Q33" s="61"/>
      <c r="R33" s="64"/>
      <c r="S33" s="65"/>
      <c r="T33" s="76"/>
    </row>
    <row r="34" spans="1:20" ht="18.75" customHeight="1" thickBot="1" x14ac:dyDescent="0.2">
      <c r="A34" s="233"/>
      <c r="B34" s="81"/>
      <c r="C34" s="67"/>
      <c r="D34" s="68"/>
      <c r="E34" s="69"/>
      <c r="F34" s="70"/>
      <c r="G34" s="85"/>
      <c r="H34" s="89"/>
      <c r="I34" s="68"/>
      <c r="J34" s="70"/>
      <c r="K34" s="70"/>
      <c r="L34" s="70"/>
      <c r="M34" s="70"/>
      <c r="N34" s="93"/>
      <c r="O34" s="81"/>
      <c r="P34" s="71"/>
      <c r="Q34" s="68"/>
      <c r="R34" s="72"/>
      <c r="S34" s="69"/>
      <c r="T34" s="77"/>
    </row>
  </sheetData>
  <mergeCells count="6">
    <mergeCell ref="H1:O1"/>
    <mergeCell ref="A2:T2"/>
    <mergeCell ref="Q3:T3"/>
    <mergeCell ref="A8:F8"/>
    <mergeCell ref="A10:A34"/>
    <mergeCell ref="B5:C6"/>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A268D-9C0E-44E0-B112-1F9F283CC395}">
  <sheetPr>
    <pageSetUpPr fitToPage="1"/>
  </sheetPr>
  <dimension ref="A1:U64"/>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246</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353</v>
      </c>
      <c r="C13" s="120" t="s">
        <v>93</v>
      </c>
      <c r="D13" s="120"/>
      <c r="E13" s="61"/>
      <c r="F13" s="61"/>
      <c r="G13" s="120"/>
      <c r="H13" s="119">
        <v>10</v>
      </c>
      <c r="I13" s="120" t="s">
        <v>354</v>
      </c>
      <c r="J13" s="127" t="s">
        <v>156</v>
      </c>
      <c r="K13" s="119">
        <v>10</v>
      </c>
      <c r="L13" s="120" t="s">
        <v>355</v>
      </c>
      <c r="M13" s="120" t="s">
        <v>30</v>
      </c>
      <c r="N13" s="119">
        <v>10</v>
      </c>
      <c r="O13" s="118"/>
    </row>
    <row r="14" spans="1:21" ht="14.25" x14ac:dyDescent="0.15">
      <c r="A14" s="255"/>
      <c r="B14" s="120"/>
      <c r="C14" s="120" t="s">
        <v>61</v>
      </c>
      <c r="D14" s="120"/>
      <c r="E14" s="61" t="s">
        <v>62</v>
      </c>
      <c r="F14" s="61"/>
      <c r="G14" s="120"/>
      <c r="H14" s="121">
        <v>0.13</v>
      </c>
      <c r="I14" s="120"/>
      <c r="J14" s="120" t="s">
        <v>440</v>
      </c>
      <c r="K14" s="121">
        <v>0.13</v>
      </c>
      <c r="L14" s="123"/>
      <c r="M14" s="123"/>
      <c r="N14" s="122"/>
      <c r="O14" s="126"/>
    </row>
    <row r="15" spans="1:21" ht="14.25" x14ac:dyDescent="0.15">
      <c r="A15" s="255"/>
      <c r="B15" s="120"/>
      <c r="C15" s="120" t="s">
        <v>30</v>
      </c>
      <c r="D15" s="120"/>
      <c r="E15" s="61"/>
      <c r="F15" s="61"/>
      <c r="G15" s="120"/>
      <c r="H15" s="119">
        <v>10</v>
      </c>
      <c r="I15" s="120"/>
      <c r="J15" s="120" t="s">
        <v>30</v>
      </c>
      <c r="K15" s="119">
        <v>10</v>
      </c>
      <c r="L15" s="120" t="s">
        <v>356</v>
      </c>
      <c r="M15" s="120" t="s">
        <v>177</v>
      </c>
      <c r="N15" s="119">
        <v>20</v>
      </c>
      <c r="O15" s="118"/>
    </row>
    <row r="16" spans="1:21" ht="14.25" x14ac:dyDescent="0.15">
      <c r="A16" s="255"/>
      <c r="B16" s="120"/>
      <c r="C16" s="120" t="s">
        <v>257</v>
      </c>
      <c r="D16" s="120"/>
      <c r="E16" s="61"/>
      <c r="F16" s="61"/>
      <c r="G16" s="120"/>
      <c r="H16" s="119">
        <v>10</v>
      </c>
      <c r="I16" s="120"/>
      <c r="J16" s="120" t="s">
        <v>257</v>
      </c>
      <c r="K16" s="119">
        <v>5</v>
      </c>
      <c r="L16" s="123"/>
      <c r="M16" s="123"/>
      <c r="N16" s="122"/>
      <c r="O16" s="126"/>
    </row>
    <row r="17" spans="1:15" ht="14.25" x14ac:dyDescent="0.15">
      <c r="A17" s="255"/>
      <c r="B17" s="120"/>
      <c r="C17" s="120" t="s">
        <v>172</v>
      </c>
      <c r="D17" s="120"/>
      <c r="E17" s="61"/>
      <c r="F17" s="61"/>
      <c r="G17" s="120"/>
      <c r="H17" s="119">
        <v>5</v>
      </c>
      <c r="I17" s="120"/>
      <c r="J17" s="120" t="s">
        <v>172</v>
      </c>
      <c r="K17" s="119">
        <v>5</v>
      </c>
      <c r="L17" s="120" t="s">
        <v>47</v>
      </c>
      <c r="M17" s="120" t="s">
        <v>51</v>
      </c>
      <c r="N17" s="119">
        <v>10</v>
      </c>
      <c r="O17" s="118"/>
    </row>
    <row r="18" spans="1:15" ht="14.25" x14ac:dyDescent="0.15">
      <c r="A18" s="255"/>
      <c r="B18" s="120"/>
      <c r="C18" s="120" t="s">
        <v>173</v>
      </c>
      <c r="D18" s="120"/>
      <c r="E18" s="61"/>
      <c r="F18" s="61"/>
      <c r="G18" s="120"/>
      <c r="H18" s="119">
        <v>5</v>
      </c>
      <c r="I18" s="120"/>
      <c r="J18" s="120" t="s">
        <v>173</v>
      </c>
      <c r="K18" s="119">
        <v>5</v>
      </c>
      <c r="L18" s="120"/>
      <c r="M18" s="120"/>
      <c r="N18" s="119"/>
      <c r="O18" s="118"/>
    </row>
    <row r="19" spans="1:15" ht="14.25" x14ac:dyDescent="0.15">
      <c r="A19" s="255"/>
      <c r="B19" s="120"/>
      <c r="C19" s="120"/>
      <c r="D19" s="120"/>
      <c r="E19" s="61"/>
      <c r="F19" s="61"/>
      <c r="G19" s="120" t="s">
        <v>32</v>
      </c>
      <c r="H19" s="119" t="s">
        <v>439</v>
      </c>
      <c r="I19" s="120"/>
      <c r="J19" s="120"/>
      <c r="K19" s="119"/>
      <c r="L19" s="120"/>
      <c r="M19" s="120"/>
      <c r="N19" s="119"/>
      <c r="O19" s="118"/>
    </row>
    <row r="20" spans="1:15" ht="14.25" x14ac:dyDescent="0.15">
      <c r="A20" s="255"/>
      <c r="B20" s="120"/>
      <c r="C20" s="120"/>
      <c r="D20" s="120"/>
      <c r="E20" s="61"/>
      <c r="F20" s="61"/>
      <c r="G20" s="120" t="s">
        <v>33</v>
      </c>
      <c r="H20" s="119" t="s">
        <v>438</v>
      </c>
      <c r="I20" s="120"/>
      <c r="J20" s="120"/>
      <c r="K20" s="119"/>
      <c r="L20" s="120"/>
      <c r="M20" s="120"/>
      <c r="N20" s="119"/>
      <c r="O20" s="118"/>
    </row>
    <row r="21" spans="1:15" ht="14.25" x14ac:dyDescent="0.15">
      <c r="A21" s="255"/>
      <c r="B21" s="120"/>
      <c r="C21" s="120"/>
      <c r="D21" s="120"/>
      <c r="E21" s="61"/>
      <c r="F21" s="61" t="s">
        <v>36</v>
      </c>
      <c r="G21" s="120" t="s">
        <v>35</v>
      </c>
      <c r="H21" s="119" t="s">
        <v>438</v>
      </c>
      <c r="I21" s="120"/>
      <c r="J21" s="120"/>
      <c r="K21" s="119"/>
      <c r="L21" s="120"/>
      <c r="M21" s="120"/>
      <c r="N21" s="119"/>
      <c r="O21" s="118"/>
    </row>
    <row r="22" spans="1:15" ht="14.25" x14ac:dyDescent="0.15">
      <c r="A22" s="255"/>
      <c r="B22" s="123"/>
      <c r="C22" s="123"/>
      <c r="D22" s="123"/>
      <c r="E22" s="55"/>
      <c r="F22" s="55"/>
      <c r="G22" s="123"/>
      <c r="H22" s="122"/>
      <c r="I22" s="123"/>
      <c r="J22" s="123"/>
      <c r="K22" s="122"/>
      <c r="L22" s="120"/>
      <c r="M22" s="120"/>
      <c r="N22" s="119"/>
      <c r="O22" s="118"/>
    </row>
    <row r="23" spans="1:15" ht="14.25" x14ac:dyDescent="0.15">
      <c r="A23" s="255"/>
      <c r="B23" s="120" t="s">
        <v>183</v>
      </c>
      <c r="C23" s="120" t="s">
        <v>177</v>
      </c>
      <c r="D23" s="120"/>
      <c r="E23" s="61"/>
      <c r="F23" s="157"/>
      <c r="G23" s="120"/>
      <c r="H23" s="119">
        <v>20</v>
      </c>
      <c r="I23" s="120" t="s">
        <v>183</v>
      </c>
      <c r="J23" s="120" t="s">
        <v>177</v>
      </c>
      <c r="K23" s="119">
        <v>20</v>
      </c>
      <c r="L23" s="120"/>
      <c r="M23" s="120"/>
      <c r="N23" s="119"/>
      <c r="O23" s="118"/>
    </row>
    <row r="24" spans="1:15" ht="14.25" x14ac:dyDescent="0.15">
      <c r="A24" s="255"/>
      <c r="B24" s="120"/>
      <c r="C24" s="120" t="s">
        <v>179</v>
      </c>
      <c r="D24" s="120"/>
      <c r="E24" s="61" t="s">
        <v>457</v>
      </c>
      <c r="F24" s="61"/>
      <c r="G24" s="120"/>
      <c r="H24" s="119">
        <v>5</v>
      </c>
      <c r="I24" s="120"/>
      <c r="J24" s="120" t="s">
        <v>179</v>
      </c>
      <c r="K24" s="119">
        <v>3</v>
      </c>
      <c r="L24" s="120"/>
      <c r="M24" s="120"/>
      <c r="N24" s="119"/>
      <c r="O24" s="118"/>
    </row>
    <row r="25" spans="1:15" ht="14.25" x14ac:dyDescent="0.15">
      <c r="A25" s="255"/>
      <c r="B25" s="120"/>
      <c r="C25" s="120"/>
      <c r="D25" s="120"/>
      <c r="E25" s="61"/>
      <c r="F25" s="61"/>
      <c r="G25" s="120" t="s">
        <v>32</v>
      </c>
      <c r="H25" s="119" t="s">
        <v>439</v>
      </c>
      <c r="I25" s="120"/>
      <c r="J25" s="120"/>
      <c r="K25" s="119"/>
      <c r="L25" s="120"/>
      <c r="M25" s="120"/>
      <c r="N25" s="119"/>
      <c r="O25" s="118"/>
    </row>
    <row r="26" spans="1:15" ht="14.25" x14ac:dyDescent="0.15">
      <c r="A26" s="255"/>
      <c r="B26" s="120"/>
      <c r="C26" s="120"/>
      <c r="D26" s="120"/>
      <c r="E26" s="61"/>
      <c r="F26" s="61" t="s">
        <v>36</v>
      </c>
      <c r="G26" s="120" t="s">
        <v>35</v>
      </c>
      <c r="H26" s="119" t="s">
        <v>438</v>
      </c>
      <c r="I26" s="120"/>
      <c r="J26" s="120"/>
      <c r="K26" s="119"/>
      <c r="L26" s="120"/>
      <c r="M26" s="120"/>
      <c r="N26" s="119"/>
      <c r="O26" s="118"/>
    </row>
    <row r="27" spans="1:15" ht="14.25" x14ac:dyDescent="0.15">
      <c r="A27" s="255"/>
      <c r="B27" s="123"/>
      <c r="C27" s="123"/>
      <c r="D27" s="123"/>
      <c r="E27" s="55"/>
      <c r="F27" s="55"/>
      <c r="G27" s="123"/>
      <c r="H27" s="122"/>
      <c r="I27" s="123"/>
      <c r="J27" s="123"/>
      <c r="K27" s="122"/>
      <c r="L27" s="120"/>
      <c r="M27" s="120"/>
      <c r="N27" s="119"/>
      <c r="O27" s="118"/>
    </row>
    <row r="28" spans="1:15" ht="14.25" x14ac:dyDescent="0.15">
      <c r="A28" s="255"/>
      <c r="B28" s="120" t="s">
        <v>47</v>
      </c>
      <c r="C28" s="120" t="s">
        <v>51</v>
      </c>
      <c r="D28" s="120"/>
      <c r="E28" s="61" t="s">
        <v>52</v>
      </c>
      <c r="F28" s="61"/>
      <c r="G28" s="120"/>
      <c r="H28" s="119">
        <v>30</v>
      </c>
      <c r="I28" s="120" t="s">
        <v>47</v>
      </c>
      <c r="J28" s="120" t="s">
        <v>51</v>
      </c>
      <c r="K28" s="119">
        <v>20</v>
      </c>
      <c r="L28" s="120"/>
      <c r="M28" s="120"/>
      <c r="N28" s="119"/>
      <c r="O28" s="118"/>
    </row>
    <row r="29" spans="1:15" ht="14.25" x14ac:dyDescent="0.15">
      <c r="A29" s="255"/>
      <c r="B29" s="120"/>
      <c r="C29" s="120"/>
      <c r="D29" s="120"/>
      <c r="E29" s="61"/>
      <c r="F29" s="61"/>
      <c r="G29" s="120" t="s">
        <v>33</v>
      </c>
      <c r="H29" s="119" t="s">
        <v>438</v>
      </c>
      <c r="I29" s="120"/>
      <c r="J29" s="120"/>
      <c r="K29" s="119"/>
      <c r="L29" s="120"/>
      <c r="M29" s="120"/>
      <c r="N29" s="119"/>
      <c r="O29" s="118"/>
    </row>
    <row r="30" spans="1:15" ht="15" thickBot="1" x14ac:dyDescent="0.2">
      <c r="A30" s="256"/>
      <c r="B30" s="117"/>
      <c r="C30" s="117"/>
      <c r="D30" s="117"/>
      <c r="E30" s="68"/>
      <c r="F30" s="68"/>
      <c r="G30" s="117"/>
      <c r="H30" s="116"/>
      <c r="I30" s="117"/>
      <c r="J30" s="117"/>
      <c r="K30" s="116"/>
      <c r="L30" s="117"/>
      <c r="M30" s="117"/>
      <c r="N30" s="116"/>
      <c r="O30" s="115"/>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row r="61" spans="2:14" ht="14.25" x14ac:dyDescent="0.15">
      <c r="B61" s="114"/>
      <c r="C61" s="114"/>
      <c r="D61" s="114"/>
      <c r="G61" s="114"/>
      <c r="H61" s="113"/>
      <c r="I61" s="114"/>
      <c r="J61" s="114"/>
      <c r="K61" s="113"/>
      <c r="L61" s="114"/>
      <c r="M61" s="114"/>
      <c r="N61" s="113"/>
    </row>
    <row r="62" spans="2:14" ht="14.25" x14ac:dyDescent="0.15">
      <c r="B62" s="114"/>
      <c r="C62" s="114"/>
      <c r="D62" s="114"/>
      <c r="G62" s="114"/>
      <c r="H62" s="113"/>
      <c r="I62" s="114"/>
      <c r="J62" s="114"/>
      <c r="K62" s="113"/>
      <c r="L62" s="114"/>
      <c r="M62" s="114"/>
      <c r="N62" s="113"/>
    </row>
    <row r="63" spans="2:14" ht="14.25" x14ac:dyDescent="0.15">
      <c r="B63" s="114"/>
      <c r="C63" s="114"/>
      <c r="D63" s="114"/>
      <c r="G63" s="114"/>
      <c r="H63" s="113"/>
      <c r="I63" s="114"/>
      <c r="J63" s="114"/>
      <c r="K63" s="113"/>
      <c r="L63" s="114"/>
      <c r="M63" s="114"/>
      <c r="N63" s="113"/>
    </row>
    <row r="64" spans="2:14" ht="14.25" x14ac:dyDescent="0.15">
      <c r="B64" s="114"/>
      <c r="C64" s="114"/>
      <c r="D64" s="114"/>
      <c r="G64" s="114"/>
      <c r="H64" s="113"/>
      <c r="I64" s="114"/>
      <c r="J64" s="114"/>
      <c r="K64" s="113"/>
      <c r="L64" s="114"/>
      <c r="M64" s="114"/>
      <c r="N64" s="113"/>
    </row>
  </sheetData>
  <mergeCells count="15">
    <mergeCell ref="L8:N8"/>
    <mergeCell ref="O8:O10"/>
    <mergeCell ref="I9:K9"/>
    <mergeCell ref="L9:N9"/>
    <mergeCell ref="A11:A30"/>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28"/>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258</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23</v>
      </c>
      <c r="C10" s="48"/>
      <c r="D10" s="49"/>
      <c r="E10" s="50"/>
      <c r="F10" s="51"/>
      <c r="G10" s="82"/>
      <c r="H10" s="86"/>
      <c r="I10" s="49"/>
      <c r="J10" s="51"/>
      <c r="K10" s="51"/>
      <c r="L10" s="51"/>
      <c r="M10" s="51"/>
      <c r="N10" s="90"/>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152</v>
      </c>
      <c r="C12" s="60" t="s">
        <v>156</v>
      </c>
      <c r="D12" s="61"/>
      <c r="E12" s="65">
        <v>40</v>
      </c>
      <c r="F12" s="62" t="s">
        <v>27</v>
      </c>
      <c r="G12" s="84"/>
      <c r="H12" s="88" t="s">
        <v>156</v>
      </c>
      <c r="I12" s="61"/>
      <c r="J12" s="62">
        <f>ROUNDUP(E12*0.75,2)</f>
        <v>30</v>
      </c>
      <c r="K12" s="62" t="s">
        <v>27</v>
      </c>
      <c r="L12" s="62"/>
      <c r="M12" s="62">
        <f>ROUNDUP((R5*E12)+(R6*J12)+(R7*(E12*2)),2)</f>
        <v>0</v>
      </c>
      <c r="N12" s="92">
        <f>M12</f>
        <v>0</v>
      </c>
      <c r="O12" s="80" t="s">
        <v>153</v>
      </c>
      <c r="P12" s="63" t="s">
        <v>65</v>
      </c>
      <c r="Q12" s="61"/>
      <c r="R12" s="64">
        <v>1</v>
      </c>
      <c r="S12" s="65">
        <f t="shared" ref="S12:S18" si="0">ROUNDUP(R12*0.75,2)</f>
        <v>0.75</v>
      </c>
      <c r="T12" s="76">
        <f>ROUNDUP((R5*R12)+(R6*S12)+(R7*(R12*2)),2)</f>
        <v>0</v>
      </c>
    </row>
    <row r="13" spans="1:21" ht="18.75" customHeight="1" x14ac:dyDescent="0.15">
      <c r="A13" s="232"/>
      <c r="B13" s="80"/>
      <c r="C13" s="60" t="s">
        <v>157</v>
      </c>
      <c r="D13" s="61"/>
      <c r="E13" s="65">
        <v>20</v>
      </c>
      <c r="F13" s="62" t="s">
        <v>27</v>
      </c>
      <c r="G13" s="84" t="s">
        <v>127</v>
      </c>
      <c r="H13" s="88" t="s">
        <v>157</v>
      </c>
      <c r="I13" s="61"/>
      <c r="J13" s="62">
        <f>ROUNDUP(E13*0.75,2)</f>
        <v>15</v>
      </c>
      <c r="K13" s="62" t="s">
        <v>27</v>
      </c>
      <c r="L13" s="62" t="s">
        <v>127</v>
      </c>
      <c r="M13" s="62">
        <f>ROUNDUP((R5*E13)+(R6*J13)+(R7*(E13*2)),2)</f>
        <v>0</v>
      </c>
      <c r="N13" s="92">
        <f>M13</f>
        <v>0</v>
      </c>
      <c r="O13" s="80" t="s">
        <v>154</v>
      </c>
      <c r="P13" s="63" t="s">
        <v>37</v>
      </c>
      <c r="Q13" s="61"/>
      <c r="R13" s="64">
        <v>6</v>
      </c>
      <c r="S13" s="65">
        <f t="shared" si="0"/>
        <v>4.5</v>
      </c>
      <c r="T13" s="76">
        <f>ROUNDUP((R5*R13)+(R6*S13)+(R7*(R13*2)),2)</f>
        <v>0</v>
      </c>
    </row>
    <row r="14" spans="1:21" ht="18.75" customHeight="1" x14ac:dyDescent="0.15">
      <c r="A14" s="232"/>
      <c r="B14" s="80"/>
      <c r="C14" s="60" t="s">
        <v>158</v>
      </c>
      <c r="D14" s="61"/>
      <c r="E14" s="65">
        <v>10</v>
      </c>
      <c r="F14" s="62" t="s">
        <v>27</v>
      </c>
      <c r="G14" s="84"/>
      <c r="H14" s="88" t="s">
        <v>158</v>
      </c>
      <c r="I14" s="61"/>
      <c r="J14" s="62">
        <f>ROUNDUP(E14*0.75,2)</f>
        <v>7.5</v>
      </c>
      <c r="K14" s="62" t="s">
        <v>27</v>
      </c>
      <c r="L14" s="62"/>
      <c r="M14" s="62">
        <f>ROUNDUP((R5*E14)+(R6*J14)+(R7*(E14*2)),2)</f>
        <v>0</v>
      </c>
      <c r="N14" s="92">
        <f>ROUND(M14+(M14*3/100),2)</f>
        <v>0</v>
      </c>
      <c r="O14" s="80" t="s">
        <v>155</v>
      </c>
      <c r="P14" s="63" t="s">
        <v>32</v>
      </c>
      <c r="Q14" s="61"/>
      <c r="R14" s="64">
        <v>4</v>
      </c>
      <c r="S14" s="65">
        <f t="shared" si="0"/>
        <v>3</v>
      </c>
      <c r="T14" s="76">
        <f>ROUNDUP((R5*R14)+(R6*S14)+(R7*(R14*2)),2)</f>
        <v>0</v>
      </c>
    </row>
    <row r="15" spans="1:21" ht="18.75" customHeight="1" x14ac:dyDescent="0.15">
      <c r="A15" s="232"/>
      <c r="B15" s="80"/>
      <c r="C15" s="60"/>
      <c r="D15" s="61"/>
      <c r="E15" s="65"/>
      <c r="F15" s="62"/>
      <c r="G15" s="84"/>
      <c r="H15" s="88"/>
      <c r="I15" s="61"/>
      <c r="J15" s="62"/>
      <c r="K15" s="62"/>
      <c r="L15" s="62"/>
      <c r="M15" s="62"/>
      <c r="N15" s="92"/>
      <c r="O15" s="80" t="s">
        <v>24</v>
      </c>
      <c r="P15" s="63" t="s">
        <v>33</v>
      </c>
      <c r="Q15" s="61"/>
      <c r="R15" s="64">
        <v>2</v>
      </c>
      <c r="S15" s="65">
        <f t="shared" si="0"/>
        <v>1.5</v>
      </c>
      <c r="T15" s="76">
        <f>ROUNDUP((R5*R15)+(R6*S15)+(R7*(R15*2)),2)</f>
        <v>0</v>
      </c>
    </row>
    <row r="16" spans="1:21" ht="18.75" customHeight="1" x14ac:dyDescent="0.15">
      <c r="A16" s="232"/>
      <c r="B16" s="80"/>
      <c r="C16" s="60"/>
      <c r="D16" s="61"/>
      <c r="E16" s="65"/>
      <c r="F16" s="62"/>
      <c r="G16" s="84"/>
      <c r="H16" s="88"/>
      <c r="I16" s="61"/>
      <c r="J16" s="62"/>
      <c r="K16" s="62"/>
      <c r="L16" s="62"/>
      <c r="M16" s="62"/>
      <c r="N16" s="92"/>
      <c r="O16" s="80"/>
      <c r="P16" s="63" t="s">
        <v>123</v>
      </c>
      <c r="Q16" s="61"/>
      <c r="R16" s="64">
        <v>2</v>
      </c>
      <c r="S16" s="65">
        <f t="shared" si="0"/>
        <v>1.5</v>
      </c>
      <c r="T16" s="76">
        <f>ROUNDUP((R5*R16)+(R6*S16)+(R7*(R16*2)),2)</f>
        <v>0</v>
      </c>
    </row>
    <row r="17" spans="1:20" ht="18.75" customHeight="1" x14ac:dyDescent="0.15">
      <c r="A17" s="232"/>
      <c r="B17" s="80"/>
      <c r="C17" s="60"/>
      <c r="D17" s="61"/>
      <c r="E17" s="65"/>
      <c r="F17" s="62"/>
      <c r="G17" s="84"/>
      <c r="H17" s="88"/>
      <c r="I17" s="61"/>
      <c r="J17" s="62"/>
      <c r="K17" s="62"/>
      <c r="L17" s="62"/>
      <c r="M17" s="62"/>
      <c r="N17" s="92"/>
      <c r="O17" s="80"/>
      <c r="P17" s="63" t="s">
        <v>35</v>
      </c>
      <c r="Q17" s="61" t="s">
        <v>36</v>
      </c>
      <c r="R17" s="64">
        <v>2</v>
      </c>
      <c r="S17" s="65">
        <f t="shared" si="0"/>
        <v>1.5</v>
      </c>
      <c r="T17" s="76">
        <f>ROUNDUP((R5*R17)+(R6*S17)+(R7*(R17*2)),2)</f>
        <v>0</v>
      </c>
    </row>
    <row r="18" spans="1:20" ht="18.75" customHeight="1" x14ac:dyDescent="0.15">
      <c r="A18" s="232"/>
      <c r="B18" s="80"/>
      <c r="C18" s="60"/>
      <c r="D18" s="61"/>
      <c r="E18" s="65"/>
      <c r="F18" s="62"/>
      <c r="G18" s="84"/>
      <c r="H18" s="88"/>
      <c r="I18" s="61"/>
      <c r="J18" s="62"/>
      <c r="K18" s="62"/>
      <c r="L18" s="62"/>
      <c r="M18" s="62"/>
      <c r="N18" s="92"/>
      <c r="O18" s="80"/>
      <c r="P18" s="63" t="s">
        <v>28</v>
      </c>
      <c r="Q18" s="61"/>
      <c r="R18" s="64">
        <v>2</v>
      </c>
      <c r="S18" s="65">
        <f t="shared" si="0"/>
        <v>1.5</v>
      </c>
      <c r="T18" s="76">
        <f>ROUNDUP((R5*R18)+(R6*S18)+(R7*(R18*2)),2)</f>
        <v>0</v>
      </c>
    </row>
    <row r="19" spans="1:20" ht="18.75" customHeight="1" x14ac:dyDescent="0.15">
      <c r="A19" s="232"/>
      <c r="B19" s="79"/>
      <c r="C19" s="54"/>
      <c r="D19" s="55"/>
      <c r="E19" s="56"/>
      <c r="F19" s="57"/>
      <c r="G19" s="83"/>
      <c r="H19" s="87"/>
      <c r="I19" s="55"/>
      <c r="J19" s="57"/>
      <c r="K19" s="57"/>
      <c r="L19" s="57"/>
      <c r="M19" s="57"/>
      <c r="N19" s="91"/>
      <c r="O19" s="79"/>
      <c r="P19" s="58"/>
      <c r="Q19" s="55"/>
      <c r="R19" s="59"/>
      <c r="S19" s="56"/>
      <c r="T19" s="75"/>
    </row>
    <row r="20" spans="1:20" ht="18.75" customHeight="1" x14ac:dyDescent="0.15">
      <c r="A20" s="232"/>
      <c r="B20" s="80" t="s">
        <v>159</v>
      </c>
      <c r="C20" s="60" t="s">
        <v>162</v>
      </c>
      <c r="D20" s="61"/>
      <c r="E20" s="65">
        <v>20</v>
      </c>
      <c r="F20" s="62" t="s">
        <v>27</v>
      </c>
      <c r="G20" s="84"/>
      <c r="H20" s="88" t="s">
        <v>162</v>
      </c>
      <c r="I20" s="61"/>
      <c r="J20" s="62">
        <f>ROUNDUP(E20*0.75,2)</f>
        <v>15</v>
      </c>
      <c r="K20" s="62" t="s">
        <v>27</v>
      </c>
      <c r="L20" s="62"/>
      <c r="M20" s="62">
        <f>ROUNDUP((R5*E20)+(R6*J20)+(R7*(E20*2)),2)</f>
        <v>0</v>
      </c>
      <c r="N20" s="92">
        <f>M20</f>
        <v>0</v>
      </c>
      <c r="O20" s="99" t="s">
        <v>295</v>
      </c>
      <c r="P20" s="63" t="s">
        <v>64</v>
      </c>
      <c r="Q20" s="61"/>
      <c r="R20" s="64">
        <v>1</v>
      </c>
      <c r="S20" s="65">
        <f>ROUNDUP(R20*0.75,2)</f>
        <v>0.75</v>
      </c>
      <c r="T20" s="76">
        <f>ROUNDUP((R5*R20)+(R6*S20)+(R7*(R20*2)),2)</f>
        <v>0</v>
      </c>
    </row>
    <row r="21" spans="1:20" ht="18.75" customHeight="1" x14ac:dyDescent="0.15">
      <c r="A21" s="232"/>
      <c r="B21" s="80"/>
      <c r="C21" s="60" t="s">
        <v>60</v>
      </c>
      <c r="D21" s="61"/>
      <c r="E21" s="65">
        <v>5</v>
      </c>
      <c r="F21" s="62" t="s">
        <v>27</v>
      </c>
      <c r="G21" s="84"/>
      <c r="H21" s="88" t="s">
        <v>60</v>
      </c>
      <c r="I21" s="61"/>
      <c r="J21" s="62">
        <f>ROUNDUP(E21*0.75,2)</f>
        <v>3.75</v>
      </c>
      <c r="K21" s="62" t="s">
        <v>27</v>
      </c>
      <c r="L21" s="62"/>
      <c r="M21" s="62">
        <f>ROUNDUP((R5*E21)+(R6*J21)+(R7*(E21*2)),2)</f>
        <v>0</v>
      </c>
      <c r="N21" s="92">
        <f>M21</f>
        <v>0</v>
      </c>
      <c r="O21" s="80" t="s">
        <v>160</v>
      </c>
      <c r="P21" s="63" t="s">
        <v>32</v>
      </c>
      <c r="Q21" s="61"/>
      <c r="R21" s="64">
        <v>15</v>
      </c>
      <c r="S21" s="65">
        <f>ROUNDUP(R21*0.75,2)</f>
        <v>11.25</v>
      </c>
      <c r="T21" s="76">
        <f>ROUNDUP((R5*R21)+(R6*S21)+(R7*(R21*2)),2)</f>
        <v>0</v>
      </c>
    </row>
    <row r="22" spans="1:20" ht="18.75" customHeight="1" x14ac:dyDescent="0.15">
      <c r="A22" s="232"/>
      <c r="B22" s="80"/>
      <c r="C22" s="60" t="s">
        <v>31</v>
      </c>
      <c r="D22" s="61"/>
      <c r="E22" s="65">
        <v>10</v>
      </c>
      <c r="F22" s="62" t="s">
        <v>27</v>
      </c>
      <c r="G22" s="84"/>
      <c r="H22" s="88" t="s">
        <v>31</v>
      </c>
      <c r="I22" s="61"/>
      <c r="J22" s="62">
        <f>ROUNDUP(E22*0.75,2)</f>
        <v>7.5</v>
      </c>
      <c r="K22" s="62" t="s">
        <v>27</v>
      </c>
      <c r="L22" s="62"/>
      <c r="M22" s="62">
        <f>ROUNDUP((R5*E22)+(R6*J22)+(R7*(E22*2)),2)</f>
        <v>0</v>
      </c>
      <c r="N22" s="92">
        <f>ROUND(M22+(M22*10/100),2)</f>
        <v>0</v>
      </c>
      <c r="O22" s="80" t="s">
        <v>57</v>
      </c>
      <c r="P22" s="63" t="s">
        <v>34</v>
      </c>
      <c r="Q22" s="61"/>
      <c r="R22" s="64">
        <v>3</v>
      </c>
      <c r="S22" s="65">
        <f>ROUNDUP(R22*0.75,2)</f>
        <v>2.25</v>
      </c>
      <c r="T22" s="76">
        <f>ROUNDUP((R5*R22)+(R6*S22)+(R7*(R22*2)),2)</f>
        <v>0</v>
      </c>
    </row>
    <row r="23" spans="1:20" ht="18.75" customHeight="1" x14ac:dyDescent="0.15">
      <c r="A23" s="232"/>
      <c r="B23" s="80"/>
      <c r="C23" s="60" t="s">
        <v>115</v>
      </c>
      <c r="D23" s="61"/>
      <c r="E23" s="65">
        <v>10</v>
      </c>
      <c r="F23" s="62" t="s">
        <v>27</v>
      </c>
      <c r="G23" s="84"/>
      <c r="H23" s="88" t="s">
        <v>115</v>
      </c>
      <c r="I23" s="61"/>
      <c r="J23" s="62">
        <f>ROUNDUP(E23*0.75,2)</f>
        <v>7.5</v>
      </c>
      <c r="K23" s="62" t="s">
        <v>27</v>
      </c>
      <c r="L23" s="62"/>
      <c r="M23" s="62">
        <f>ROUNDUP((R5*E23)+(R6*J23)+(R7*(E23*2)),2)</f>
        <v>0</v>
      </c>
      <c r="N23" s="92">
        <f>ROUND(M23+(M23*10/100),2)</f>
        <v>0</v>
      </c>
      <c r="O23" s="80" t="s">
        <v>161</v>
      </c>
      <c r="P23" s="63" t="s">
        <v>35</v>
      </c>
      <c r="Q23" s="61" t="s">
        <v>36</v>
      </c>
      <c r="R23" s="64">
        <v>1</v>
      </c>
      <c r="S23" s="65">
        <f>ROUNDUP(R23*0.75,2)</f>
        <v>0.75</v>
      </c>
      <c r="T23" s="76">
        <f>ROUNDUP((R5*R23)+(R6*S23)+(R7*(R23*2)),2)</f>
        <v>0</v>
      </c>
    </row>
    <row r="24" spans="1:20" ht="18.75" customHeight="1" x14ac:dyDescent="0.15">
      <c r="A24" s="232"/>
      <c r="B24" s="80"/>
      <c r="C24" s="60" t="s">
        <v>163</v>
      </c>
      <c r="D24" s="61"/>
      <c r="E24" s="65">
        <v>10</v>
      </c>
      <c r="F24" s="62" t="s">
        <v>27</v>
      </c>
      <c r="G24" s="84"/>
      <c r="H24" s="88" t="s">
        <v>163</v>
      </c>
      <c r="I24" s="61"/>
      <c r="J24" s="62">
        <f>ROUNDUP(E24*0.75,2)</f>
        <v>7.5</v>
      </c>
      <c r="K24" s="62" t="s">
        <v>27</v>
      </c>
      <c r="L24" s="62"/>
      <c r="M24" s="62">
        <f>ROUNDUP((R5*E24)+(R6*J24)+(R7*(E24*2)),2)</f>
        <v>0</v>
      </c>
      <c r="N24" s="92">
        <f>M24</f>
        <v>0</v>
      </c>
      <c r="O24" s="80" t="s">
        <v>24</v>
      </c>
      <c r="P24" s="63"/>
      <c r="Q24" s="61"/>
      <c r="R24" s="64"/>
      <c r="S24" s="65"/>
      <c r="T24" s="76"/>
    </row>
    <row r="25" spans="1:20" ht="18.75" customHeight="1" x14ac:dyDescent="0.15">
      <c r="A25" s="232"/>
      <c r="B25" s="79"/>
      <c r="C25" s="54"/>
      <c r="D25" s="55"/>
      <c r="E25" s="56"/>
      <c r="F25" s="57"/>
      <c r="G25" s="83"/>
      <c r="H25" s="87"/>
      <c r="I25" s="55"/>
      <c r="J25" s="57"/>
      <c r="K25" s="57"/>
      <c r="L25" s="57"/>
      <c r="M25" s="57"/>
      <c r="N25" s="91"/>
      <c r="O25" s="79"/>
      <c r="P25" s="58"/>
      <c r="Q25" s="55"/>
      <c r="R25" s="59"/>
      <c r="S25" s="56"/>
      <c r="T25" s="75"/>
    </row>
    <row r="26" spans="1:20" ht="18.75" customHeight="1" x14ac:dyDescent="0.15">
      <c r="A26" s="232"/>
      <c r="B26" s="80" t="s">
        <v>43</v>
      </c>
      <c r="C26" s="60" t="s">
        <v>124</v>
      </c>
      <c r="D26" s="61" t="s">
        <v>36</v>
      </c>
      <c r="E26" s="66">
        <v>0.1</v>
      </c>
      <c r="F26" s="62" t="s">
        <v>45</v>
      </c>
      <c r="G26" s="84"/>
      <c r="H26" s="88" t="s">
        <v>124</v>
      </c>
      <c r="I26" s="61" t="s">
        <v>36</v>
      </c>
      <c r="J26" s="62">
        <f>ROUNDUP(E26*0.75,2)</f>
        <v>0.08</v>
      </c>
      <c r="K26" s="62" t="s">
        <v>45</v>
      </c>
      <c r="L26" s="62"/>
      <c r="M26" s="62">
        <f>ROUNDUP((R5*E26)+(R6*J26)+(R7*(E26*2)),2)</f>
        <v>0</v>
      </c>
      <c r="N26" s="92">
        <f>M26</f>
        <v>0</v>
      </c>
      <c r="O26" s="80" t="s">
        <v>24</v>
      </c>
      <c r="P26" s="63" t="s">
        <v>32</v>
      </c>
      <c r="Q26" s="61"/>
      <c r="R26" s="64">
        <v>100</v>
      </c>
      <c r="S26" s="65">
        <f>ROUNDUP(R26*0.75,2)</f>
        <v>75</v>
      </c>
      <c r="T26" s="76">
        <f>ROUNDUP((R5*R26)+(R6*S26)+(R7*(R26*2)),2)</f>
        <v>0</v>
      </c>
    </row>
    <row r="27" spans="1:20" ht="18.75" customHeight="1" x14ac:dyDescent="0.15">
      <c r="A27" s="232"/>
      <c r="B27" s="80"/>
      <c r="C27" s="60" t="s">
        <v>87</v>
      </c>
      <c r="D27" s="61"/>
      <c r="E27" s="65">
        <v>5</v>
      </c>
      <c r="F27" s="62" t="s">
        <v>27</v>
      </c>
      <c r="G27" s="84"/>
      <c r="H27" s="88" t="s">
        <v>87</v>
      </c>
      <c r="I27" s="61"/>
      <c r="J27" s="62">
        <f>ROUNDUP(E27*0.75,2)</f>
        <v>3.75</v>
      </c>
      <c r="K27" s="62" t="s">
        <v>27</v>
      </c>
      <c r="L27" s="62"/>
      <c r="M27" s="62">
        <f>ROUNDUP((R5*E27)+(R6*J27)+(R7*(E27*2)),2)</f>
        <v>0</v>
      </c>
      <c r="N27" s="92">
        <f>M27</f>
        <v>0</v>
      </c>
      <c r="O27" s="80"/>
      <c r="P27" s="63" t="s">
        <v>46</v>
      </c>
      <c r="Q27" s="61"/>
      <c r="R27" s="64">
        <v>3</v>
      </c>
      <c r="S27" s="65">
        <f>ROUNDUP(R27*0.75,2)</f>
        <v>2.25</v>
      </c>
      <c r="T27" s="76">
        <f>ROUNDUP((R5*R27)+(R6*S27)+(R7*(R27*2)),2)</f>
        <v>0</v>
      </c>
    </row>
    <row r="28" spans="1:20" ht="18.75" customHeight="1" thickBot="1" x14ac:dyDescent="0.2">
      <c r="A28" s="233"/>
      <c r="B28" s="81"/>
      <c r="C28" s="67"/>
      <c r="D28" s="68"/>
      <c r="E28" s="69"/>
      <c r="F28" s="70"/>
      <c r="G28" s="85"/>
      <c r="H28" s="89"/>
      <c r="I28" s="68"/>
      <c r="J28" s="70"/>
      <c r="K28" s="70"/>
      <c r="L28" s="70"/>
      <c r="M28" s="70"/>
      <c r="N28" s="93"/>
      <c r="O28" s="81"/>
      <c r="P28" s="71"/>
      <c r="Q28" s="68"/>
      <c r="R28" s="72"/>
      <c r="S28" s="69"/>
      <c r="T28" s="77"/>
    </row>
  </sheetData>
  <mergeCells count="5">
    <mergeCell ref="H1:O1"/>
    <mergeCell ref="A2:T2"/>
    <mergeCell ref="Q3:T3"/>
    <mergeCell ref="A8:F8"/>
    <mergeCell ref="A10:A28"/>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DCDB-FC94-41BB-88D1-42444E7C3AFF}">
  <sheetPr>
    <pageSetUpPr fitToPage="1"/>
  </sheetPr>
  <dimension ref="A1:U55"/>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258</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367</v>
      </c>
      <c r="C13" s="120" t="s">
        <v>156</v>
      </c>
      <c r="D13" s="120"/>
      <c r="E13" s="61"/>
      <c r="F13" s="61"/>
      <c r="G13" s="120"/>
      <c r="H13" s="119">
        <v>20</v>
      </c>
      <c r="I13" s="120" t="s">
        <v>367</v>
      </c>
      <c r="J13" s="120" t="s">
        <v>156</v>
      </c>
      <c r="K13" s="119">
        <v>10</v>
      </c>
      <c r="L13" s="120" t="s">
        <v>368</v>
      </c>
      <c r="M13" s="120" t="s">
        <v>158</v>
      </c>
      <c r="N13" s="119">
        <v>10</v>
      </c>
      <c r="O13" s="118"/>
    </row>
    <row r="14" spans="1:21" ht="14.25" x14ac:dyDescent="0.15">
      <c r="A14" s="255"/>
      <c r="B14" s="120"/>
      <c r="C14" s="120" t="s">
        <v>157</v>
      </c>
      <c r="D14" s="120" t="s">
        <v>127</v>
      </c>
      <c r="E14" s="61"/>
      <c r="F14" s="61"/>
      <c r="G14" s="120"/>
      <c r="H14" s="119">
        <v>20</v>
      </c>
      <c r="I14" s="120"/>
      <c r="J14" s="120" t="s">
        <v>157</v>
      </c>
      <c r="K14" s="119">
        <v>20</v>
      </c>
      <c r="L14" s="120"/>
      <c r="M14" s="120" t="s">
        <v>157</v>
      </c>
      <c r="N14" s="119">
        <v>10</v>
      </c>
      <c r="O14" s="118" t="s">
        <v>127</v>
      </c>
    </row>
    <row r="15" spans="1:21" ht="14.25" x14ac:dyDescent="0.15">
      <c r="A15" s="255"/>
      <c r="B15" s="120"/>
      <c r="C15" s="120" t="s">
        <v>158</v>
      </c>
      <c r="D15" s="120"/>
      <c r="E15" s="61"/>
      <c r="F15" s="61"/>
      <c r="G15" s="120"/>
      <c r="H15" s="119">
        <v>10</v>
      </c>
      <c r="I15" s="120"/>
      <c r="J15" s="120" t="s">
        <v>158</v>
      </c>
      <c r="K15" s="119">
        <v>10</v>
      </c>
      <c r="L15" s="123"/>
      <c r="M15" s="123"/>
      <c r="N15" s="122"/>
      <c r="O15" s="126"/>
    </row>
    <row r="16" spans="1:21" ht="14.25" x14ac:dyDescent="0.15">
      <c r="A16" s="255"/>
      <c r="B16" s="120"/>
      <c r="C16" s="120"/>
      <c r="D16" s="120"/>
      <c r="E16" s="61"/>
      <c r="F16" s="61"/>
      <c r="G16" s="120" t="s">
        <v>53</v>
      </c>
      <c r="H16" s="119" t="s">
        <v>439</v>
      </c>
      <c r="I16" s="120"/>
      <c r="J16" s="120"/>
      <c r="K16" s="119"/>
      <c r="L16" s="120" t="s">
        <v>373</v>
      </c>
      <c r="M16" s="120" t="s">
        <v>31</v>
      </c>
      <c r="N16" s="119">
        <v>5</v>
      </c>
      <c r="O16" s="118"/>
    </row>
    <row r="17" spans="1:15" ht="14.25" x14ac:dyDescent="0.15">
      <c r="A17" s="255"/>
      <c r="B17" s="120"/>
      <c r="C17" s="120"/>
      <c r="D17" s="120"/>
      <c r="E17" s="61"/>
      <c r="F17" s="61"/>
      <c r="G17" s="120" t="s">
        <v>42</v>
      </c>
      <c r="H17" s="119" t="s">
        <v>438</v>
      </c>
      <c r="I17" s="120"/>
      <c r="J17" s="120"/>
      <c r="K17" s="119"/>
      <c r="L17" s="120"/>
      <c r="M17" s="120"/>
      <c r="N17" s="119"/>
      <c r="O17" s="118"/>
    </row>
    <row r="18" spans="1:15" ht="14.25" x14ac:dyDescent="0.15">
      <c r="A18" s="255"/>
      <c r="B18" s="123"/>
      <c r="C18" s="123"/>
      <c r="D18" s="123"/>
      <c r="E18" s="55"/>
      <c r="F18" s="55"/>
      <c r="G18" s="123"/>
      <c r="H18" s="122"/>
      <c r="I18" s="123"/>
      <c r="J18" s="123"/>
      <c r="K18" s="122"/>
      <c r="L18" s="120"/>
      <c r="M18" s="120"/>
      <c r="N18" s="119"/>
      <c r="O18" s="118"/>
    </row>
    <row r="19" spans="1:15" ht="14.25" x14ac:dyDescent="0.15">
      <c r="A19" s="255"/>
      <c r="B19" s="120" t="s">
        <v>371</v>
      </c>
      <c r="C19" s="120" t="s">
        <v>162</v>
      </c>
      <c r="D19" s="120"/>
      <c r="E19" s="61"/>
      <c r="F19" s="61"/>
      <c r="G19" s="120"/>
      <c r="H19" s="119">
        <v>10</v>
      </c>
      <c r="I19" s="120" t="s">
        <v>372</v>
      </c>
      <c r="J19" s="120" t="s">
        <v>31</v>
      </c>
      <c r="K19" s="119">
        <v>10</v>
      </c>
      <c r="L19" s="120"/>
      <c r="M19" s="120"/>
      <c r="N19" s="119"/>
      <c r="O19" s="118"/>
    </row>
    <row r="20" spans="1:15" ht="14.25" x14ac:dyDescent="0.15">
      <c r="A20" s="255"/>
      <c r="B20" s="120"/>
      <c r="C20" s="120" t="s">
        <v>31</v>
      </c>
      <c r="D20" s="120"/>
      <c r="E20" s="61"/>
      <c r="F20" s="61"/>
      <c r="G20" s="120"/>
      <c r="H20" s="119">
        <v>10</v>
      </c>
      <c r="I20" s="120"/>
      <c r="J20" s="120"/>
      <c r="K20" s="119"/>
      <c r="L20" s="120"/>
      <c r="M20" s="120"/>
      <c r="N20" s="119"/>
      <c r="O20" s="118"/>
    </row>
    <row r="21" spans="1:15" ht="14.25" x14ac:dyDescent="0.15">
      <c r="A21" s="255"/>
      <c r="B21" s="120"/>
      <c r="C21" s="120" t="s">
        <v>115</v>
      </c>
      <c r="D21" s="120"/>
      <c r="E21" s="61"/>
      <c r="F21" s="61"/>
      <c r="G21" s="120"/>
      <c r="H21" s="119">
        <v>10</v>
      </c>
      <c r="I21" s="123"/>
      <c r="J21" s="123"/>
      <c r="K21" s="122"/>
      <c r="L21" s="120"/>
      <c r="M21" s="120"/>
      <c r="N21" s="119"/>
      <c r="O21" s="118"/>
    </row>
    <row r="22" spans="1:15" ht="14.25" x14ac:dyDescent="0.15">
      <c r="A22" s="255"/>
      <c r="B22" s="120"/>
      <c r="C22" s="120"/>
      <c r="D22" s="120"/>
      <c r="E22" s="61"/>
      <c r="F22" s="61"/>
      <c r="G22" s="120" t="s">
        <v>32</v>
      </c>
      <c r="H22" s="119" t="s">
        <v>439</v>
      </c>
      <c r="I22" s="120" t="s">
        <v>43</v>
      </c>
      <c r="J22" s="120" t="s">
        <v>124</v>
      </c>
      <c r="K22" s="156">
        <v>0.05</v>
      </c>
      <c r="L22" s="120"/>
      <c r="M22" s="120"/>
      <c r="N22" s="119"/>
      <c r="O22" s="118"/>
    </row>
    <row r="23" spans="1:15" ht="14.25" x14ac:dyDescent="0.15">
      <c r="A23" s="255"/>
      <c r="B23" s="123"/>
      <c r="C23" s="123"/>
      <c r="D23" s="123"/>
      <c r="E23" s="55"/>
      <c r="F23" s="124"/>
      <c r="G23" s="123"/>
      <c r="H23" s="122"/>
      <c r="I23" s="120"/>
      <c r="J23" s="120"/>
      <c r="K23" s="119"/>
      <c r="L23" s="120"/>
      <c r="M23" s="120"/>
      <c r="N23" s="119"/>
      <c r="O23" s="118"/>
    </row>
    <row r="24" spans="1:15" ht="14.25" x14ac:dyDescent="0.15">
      <c r="A24" s="255"/>
      <c r="B24" s="120" t="s">
        <v>43</v>
      </c>
      <c r="C24" s="120" t="s">
        <v>124</v>
      </c>
      <c r="D24" s="120"/>
      <c r="E24" s="61" t="s">
        <v>36</v>
      </c>
      <c r="F24" s="61"/>
      <c r="G24" s="120"/>
      <c r="H24" s="156">
        <v>0.05</v>
      </c>
      <c r="I24" s="120"/>
      <c r="J24" s="120"/>
      <c r="K24" s="119"/>
      <c r="L24" s="120"/>
      <c r="M24" s="120"/>
      <c r="N24" s="119"/>
      <c r="O24" s="118"/>
    </row>
    <row r="25" spans="1:15" ht="14.25" x14ac:dyDescent="0.15">
      <c r="A25" s="255"/>
      <c r="B25" s="120"/>
      <c r="C25" s="120"/>
      <c r="D25" s="120"/>
      <c r="E25" s="61"/>
      <c r="F25" s="61"/>
      <c r="G25" s="120" t="s">
        <v>32</v>
      </c>
      <c r="H25" s="119" t="s">
        <v>439</v>
      </c>
      <c r="I25" s="120"/>
      <c r="J25" s="120"/>
      <c r="K25" s="119"/>
      <c r="L25" s="120"/>
      <c r="M25" s="120"/>
      <c r="N25" s="119"/>
      <c r="O25" s="118"/>
    </row>
    <row r="26" spans="1:15" ht="14.25" x14ac:dyDescent="0.15">
      <c r="A26" s="255"/>
      <c r="B26" s="120"/>
      <c r="C26" s="120"/>
      <c r="D26" s="120"/>
      <c r="E26" s="61"/>
      <c r="F26" s="61"/>
      <c r="G26" s="120" t="s">
        <v>46</v>
      </c>
      <c r="H26" s="119" t="s">
        <v>438</v>
      </c>
      <c r="I26" s="120"/>
      <c r="J26" s="120"/>
      <c r="K26" s="119"/>
      <c r="L26" s="120"/>
      <c r="M26" s="120"/>
      <c r="N26" s="119"/>
      <c r="O26" s="118"/>
    </row>
    <row r="27" spans="1:15" ht="15" thickBot="1" x14ac:dyDescent="0.2">
      <c r="A27" s="256"/>
      <c r="B27" s="117"/>
      <c r="C27" s="117"/>
      <c r="D27" s="117"/>
      <c r="E27" s="68"/>
      <c r="F27" s="68"/>
      <c r="G27" s="117"/>
      <c r="H27" s="116"/>
      <c r="I27" s="117"/>
      <c r="J27" s="117"/>
      <c r="K27" s="116"/>
      <c r="L27" s="117"/>
      <c r="M27" s="117"/>
      <c r="N27" s="116"/>
      <c r="O27" s="115"/>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sheetData>
  <mergeCells count="15">
    <mergeCell ref="L8:N8"/>
    <mergeCell ref="O8:O10"/>
    <mergeCell ref="I9:K9"/>
    <mergeCell ref="L9:N9"/>
    <mergeCell ref="A11:A27"/>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259</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119</v>
      </c>
      <c r="C10" s="48" t="s">
        <v>166</v>
      </c>
      <c r="D10" s="49" t="s">
        <v>167</v>
      </c>
      <c r="E10" s="97">
        <v>0.5</v>
      </c>
      <c r="F10" s="51" t="s">
        <v>45</v>
      </c>
      <c r="G10" s="82"/>
      <c r="H10" s="86" t="s">
        <v>166</v>
      </c>
      <c r="I10" s="49" t="s">
        <v>167</v>
      </c>
      <c r="J10" s="51">
        <f>ROUNDUP(E10*0.75,2)</f>
        <v>0.38</v>
      </c>
      <c r="K10" s="51" t="s">
        <v>45</v>
      </c>
      <c r="L10" s="51"/>
      <c r="M10" s="51">
        <f>ROUNDUP((R5*E10)+(R6*J10)+(R7*(E10*2)),2)</f>
        <v>0</v>
      </c>
      <c r="N10" s="90">
        <f>M10</f>
        <v>0</v>
      </c>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168</v>
      </c>
      <c r="C12" s="60" t="s">
        <v>171</v>
      </c>
      <c r="D12" s="61"/>
      <c r="E12" s="65">
        <v>1</v>
      </c>
      <c r="F12" s="62" t="s">
        <v>79</v>
      </c>
      <c r="G12" s="84" t="s">
        <v>78</v>
      </c>
      <c r="H12" s="88" t="s">
        <v>171</v>
      </c>
      <c r="I12" s="61"/>
      <c r="J12" s="62">
        <f>ROUNDUP(E12*0.75,2)</f>
        <v>0.75</v>
      </c>
      <c r="K12" s="62" t="s">
        <v>79</v>
      </c>
      <c r="L12" s="62" t="s">
        <v>78</v>
      </c>
      <c r="M12" s="62">
        <f>ROUNDUP((R5*E12)+(R6*J12)+(R7*(E12*2)),2)</f>
        <v>0</v>
      </c>
      <c r="N12" s="92">
        <f>M12</f>
        <v>0</v>
      </c>
      <c r="O12" s="99" t="s">
        <v>277</v>
      </c>
      <c r="P12" s="63" t="s">
        <v>37</v>
      </c>
      <c r="Q12" s="61"/>
      <c r="R12" s="64">
        <v>3</v>
      </c>
      <c r="S12" s="65">
        <f t="shared" ref="S12:S18" si="0">ROUNDUP(R12*0.75,2)</f>
        <v>2.25</v>
      </c>
      <c r="T12" s="76">
        <f>ROUNDUP((R5*R12)+(R6*S12)+(R7*(R12*2)),2)</f>
        <v>0</v>
      </c>
    </row>
    <row r="13" spans="1:21" ht="18.75" customHeight="1" x14ac:dyDescent="0.15">
      <c r="A13" s="232"/>
      <c r="B13" s="80"/>
      <c r="C13" s="60" t="s">
        <v>30</v>
      </c>
      <c r="D13" s="61"/>
      <c r="E13" s="65">
        <v>20</v>
      </c>
      <c r="F13" s="62" t="s">
        <v>27</v>
      </c>
      <c r="G13" s="84"/>
      <c r="H13" s="88" t="s">
        <v>30</v>
      </c>
      <c r="I13" s="61"/>
      <c r="J13" s="62">
        <f>ROUNDUP(E13*0.75,2)</f>
        <v>15</v>
      </c>
      <c r="K13" s="62" t="s">
        <v>27</v>
      </c>
      <c r="L13" s="62"/>
      <c r="M13" s="62">
        <f>ROUNDUP((R5*E13)+(R6*J13)+(R7*(E13*2)),2)</f>
        <v>0</v>
      </c>
      <c r="N13" s="92">
        <f>ROUND(M13+(M13*6/100),2)</f>
        <v>0</v>
      </c>
      <c r="O13" s="36" t="s">
        <v>278</v>
      </c>
      <c r="P13" s="63" t="s">
        <v>64</v>
      </c>
      <c r="Q13" s="61"/>
      <c r="R13" s="64">
        <v>2</v>
      </c>
      <c r="S13" s="65">
        <f t="shared" si="0"/>
        <v>1.5</v>
      </c>
      <c r="T13" s="76">
        <f>ROUNDUP((R5*R13)+(R6*S13)+(R7*(R13*2)),2)</f>
        <v>0</v>
      </c>
    </row>
    <row r="14" spans="1:21" ht="18.75" customHeight="1" x14ac:dyDescent="0.15">
      <c r="A14" s="232"/>
      <c r="B14" s="80"/>
      <c r="C14" s="60" t="s">
        <v>172</v>
      </c>
      <c r="D14" s="61"/>
      <c r="E14" s="65">
        <v>5</v>
      </c>
      <c r="F14" s="62" t="s">
        <v>27</v>
      </c>
      <c r="G14" s="84"/>
      <c r="H14" s="88" t="s">
        <v>172</v>
      </c>
      <c r="I14" s="61"/>
      <c r="J14" s="62">
        <f>ROUNDUP(E14*0.75,2)</f>
        <v>3.75</v>
      </c>
      <c r="K14" s="62" t="s">
        <v>27</v>
      </c>
      <c r="L14" s="62"/>
      <c r="M14" s="62">
        <f>ROUNDUP((R5*E14)+(R6*J14)+(R7*(E14*2)),2)</f>
        <v>0</v>
      </c>
      <c r="N14" s="92">
        <f>ROUND(M14+(M14*10/100),2)</f>
        <v>0</v>
      </c>
      <c r="O14" s="80" t="s">
        <v>169</v>
      </c>
      <c r="P14" s="63" t="s">
        <v>64</v>
      </c>
      <c r="Q14" s="61"/>
      <c r="R14" s="64">
        <v>1</v>
      </c>
      <c r="S14" s="65">
        <f t="shared" si="0"/>
        <v>0.75</v>
      </c>
      <c r="T14" s="76">
        <f>ROUNDUP((R5*R14)+(R6*S14)+(R7*(R14*2)),2)</f>
        <v>0</v>
      </c>
    </row>
    <row r="15" spans="1:21" ht="18.75" customHeight="1" x14ac:dyDescent="0.15">
      <c r="A15" s="232"/>
      <c r="B15" s="80"/>
      <c r="C15" s="60" t="s">
        <v>173</v>
      </c>
      <c r="D15" s="61"/>
      <c r="E15" s="65">
        <v>5</v>
      </c>
      <c r="F15" s="62" t="s">
        <v>27</v>
      </c>
      <c r="G15" s="84"/>
      <c r="H15" s="88" t="s">
        <v>173</v>
      </c>
      <c r="I15" s="61"/>
      <c r="J15" s="62">
        <f>ROUNDUP(E15*0.75,2)</f>
        <v>3.75</v>
      </c>
      <c r="K15" s="62" t="s">
        <v>27</v>
      </c>
      <c r="L15" s="62"/>
      <c r="M15" s="62">
        <f>ROUNDUP((R5*E15)+(R6*J15)+(R7*(E15*2)),2)</f>
        <v>0</v>
      </c>
      <c r="N15" s="92">
        <f>ROUND(M15+(M15*15/100),2)</f>
        <v>0</v>
      </c>
      <c r="O15" s="80" t="s">
        <v>170</v>
      </c>
      <c r="P15" s="63" t="s">
        <v>53</v>
      </c>
      <c r="Q15" s="61"/>
      <c r="R15" s="64">
        <v>3</v>
      </c>
      <c r="S15" s="65">
        <f t="shared" si="0"/>
        <v>2.25</v>
      </c>
      <c r="T15" s="76">
        <f>ROUNDUP((R5*R15)+(R6*S15)+(R7*(R15*2)),2)</f>
        <v>0</v>
      </c>
    </row>
    <row r="16" spans="1:21" ht="18.75" customHeight="1" x14ac:dyDescent="0.15">
      <c r="A16" s="232"/>
      <c r="B16" s="80"/>
      <c r="C16" s="60"/>
      <c r="D16" s="61"/>
      <c r="E16" s="65"/>
      <c r="F16" s="62"/>
      <c r="G16" s="84"/>
      <c r="H16" s="88"/>
      <c r="I16" s="61"/>
      <c r="J16" s="62"/>
      <c r="K16" s="62"/>
      <c r="L16" s="62"/>
      <c r="M16" s="62"/>
      <c r="N16" s="92"/>
      <c r="O16" s="80" t="s">
        <v>24</v>
      </c>
      <c r="P16" s="63" t="s">
        <v>35</v>
      </c>
      <c r="Q16" s="61" t="s">
        <v>36</v>
      </c>
      <c r="R16" s="64">
        <v>1.5</v>
      </c>
      <c r="S16" s="65">
        <f t="shared" si="0"/>
        <v>1.1300000000000001</v>
      </c>
      <c r="T16" s="76">
        <f>ROUNDUP((R5*R16)+(R6*S16)+(R7*(R16*2)),2)</f>
        <v>0</v>
      </c>
    </row>
    <row r="17" spans="1:20" ht="18.75" customHeight="1" x14ac:dyDescent="0.15">
      <c r="A17" s="232"/>
      <c r="B17" s="80"/>
      <c r="C17" s="60"/>
      <c r="D17" s="61"/>
      <c r="E17" s="65"/>
      <c r="F17" s="62"/>
      <c r="G17" s="84"/>
      <c r="H17" s="88"/>
      <c r="I17" s="61"/>
      <c r="J17" s="62"/>
      <c r="K17" s="62"/>
      <c r="L17" s="62"/>
      <c r="M17" s="62"/>
      <c r="N17" s="92"/>
      <c r="O17" s="80"/>
      <c r="P17" s="63" t="s">
        <v>33</v>
      </c>
      <c r="Q17" s="61"/>
      <c r="R17" s="64">
        <v>2</v>
      </c>
      <c r="S17" s="65">
        <f t="shared" si="0"/>
        <v>1.5</v>
      </c>
      <c r="T17" s="76">
        <f>ROUNDUP((R5*R17)+(R6*S17)+(R7*(R17*2)),2)</f>
        <v>0</v>
      </c>
    </row>
    <row r="18" spans="1:20" ht="18.75" customHeight="1" x14ac:dyDescent="0.15">
      <c r="A18" s="232"/>
      <c r="B18" s="80"/>
      <c r="C18" s="60"/>
      <c r="D18" s="61"/>
      <c r="E18" s="65"/>
      <c r="F18" s="62"/>
      <c r="G18" s="84"/>
      <c r="H18" s="88"/>
      <c r="I18" s="61"/>
      <c r="J18" s="62"/>
      <c r="K18" s="62"/>
      <c r="L18" s="62"/>
      <c r="M18" s="62"/>
      <c r="N18" s="92"/>
      <c r="O18" s="80"/>
      <c r="P18" s="63" t="s">
        <v>34</v>
      </c>
      <c r="Q18" s="61"/>
      <c r="R18" s="64">
        <v>1</v>
      </c>
      <c r="S18" s="65">
        <f t="shared" si="0"/>
        <v>0.75</v>
      </c>
      <c r="T18" s="76">
        <f>ROUNDUP((R5*R18)+(R6*S18)+(R7*(R18*2)),2)</f>
        <v>0</v>
      </c>
    </row>
    <row r="19" spans="1:20" ht="18.75" customHeight="1" x14ac:dyDescent="0.15">
      <c r="A19" s="232"/>
      <c r="B19" s="79"/>
      <c r="C19" s="54"/>
      <c r="D19" s="55"/>
      <c r="E19" s="56"/>
      <c r="F19" s="57"/>
      <c r="G19" s="83"/>
      <c r="H19" s="87"/>
      <c r="I19" s="55"/>
      <c r="J19" s="57"/>
      <c r="K19" s="57"/>
      <c r="L19" s="57"/>
      <c r="M19" s="57"/>
      <c r="N19" s="91"/>
      <c r="O19" s="79"/>
      <c r="P19" s="58"/>
      <c r="Q19" s="55"/>
      <c r="R19" s="59"/>
      <c r="S19" s="56"/>
      <c r="T19" s="75"/>
    </row>
    <row r="20" spans="1:20" ht="18.75" customHeight="1" x14ac:dyDescent="0.15">
      <c r="A20" s="232"/>
      <c r="B20" s="80" t="s">
        <v>174</v>
      </c>
      <c r="C20" s="60" t="s">
        <v>81</v>
      </c>
      <c r="D20" s="61"/>
      <c r="E20" s="65">
        <v>40</v>
      </c>
      <c r="F20" s="62" t="s">
        <v>27</v>
      </c>
      <c r="G20" s="84"/>
      <c r="H20" s="88" t="s">
        <v>81</v>
      </c>
      <c r="I20" s="61"/>
      <c r="J20" s="62">
        <f>ROUNDUP(E20*0.75,2)</f>
        <v>30</v>
      </c>
      <c r="K20" s="62" t="s">
        <v>27</v>
      </c>
      <c r="L20" s="62"/>
      <c r="M20" s="62">
        <f>ROUNDUP((R5*E20)+(R6*J20)+(R7*(E20*2)),2)</f>
        <v>0</v>
      </c>
      <c r="N20" s="92">
        <f>M20</f>
        <v>0</v>
      </c>
      <c r="O20" s="80" t="s">
        <v>175</v>
      </c>
      <c r="P20" s="63" t="s">
        <v>33</v>
      </c>
      <c r="Q20" s="61"/>
      <c r="R20" s="64">
        <v>1</v>
      </c>
      <c r="S20" s="65">
        <f>ROUNDUP(R20*0.75,2)</f>
        <v>0.75</v>
      </c>
      <c r="T20" s="76">
        <f>ROUNDUP((R5*R20)+(R6*S20)+(R7*(R20*2)),2)</f>
        <v>0</v>
      </c>
    </row>
    <row r="21" spans="1:20" ht="18.75" customHeight="1" x14ac:dyDescent="0.15">
      <c r="A21" s="232"/>
      <c r="B21" s="80"/>
      <c r="C21" s="60" t="s">
        <v>31</v>
      </c>
      <c r="D21" s="61"/>
      <c r="E21" s="65">
        <v>10</v>
      </c>
      <c r="F21" s="62" t="s">
        <v>27</v>
      </c>
      <c r="G21" s="84"/>
      <c r="H21" s="88" t="s">
        <v>31</v>
      </c>
      <c r="I21" s="61"/>
      <c r="J21" s="62">
        <f>ROUNDUP(E21*0.75,2)</f>
        <v>7.5</v>
      </c>
      <c r="K21" s="62" t="s">
        <v>27</v>
      </c>
      <c r="L21" s="62"/>
      <c r="M21" s="62">
        <f>ROUNDUP((R5*E21)+(R6*J21)+(R7*(E21*2)),2)</f>
        <v>0</v>
      </c>
      <c r="N21" s="92">
        <f>ROUND(M21+(M21*10/100),2)</f>
        <v>0</v>
      </c>
      <c r="O21" s="80" t="s">
        <v>176</v>
      </c>
      <c r="P21" s="63" t="s">
        <v>42</v>
      </c>
      <c r="Q21" s="61"/>
      <c r="R21" s="64">
        <v>0.1</v>
      </c>
      <c r="S21" s="65">
        <f>ROUNDUP(R21*0.75,2)</f>
        <v>0.08</v>
      </c>
      <c r="T21" s="76">
        <f>ROUNDUP((R5*R21)+(R6*S21)+(R7*(R21*2)),2)</f>
        <v>0</v>
      </c>
    </row>
    <row r="22" spans="1:20" ht="18.75" customHeight="1" x14ac:dyDescent="0.15">
      <c r="A22" s="232"/>
      <c r="B22" s="80"/>
      <c r="C22" s="60" t="s">
        <v>100</v>
      </c>
      <c r="D22" s="61"/>
      <c r="E22" s="65">
        <v>5</v>
      </c>
      <c r="F22" s="62" t="s">
        <v>27</v>
      </c>
      <c r="G22" s="84"/>
      <c r="H22" s="88" t="s">
        <v>100</v>
      </c>
      <c r="I22" s="61"/>
      <c r="J22" s="62">
        <f>ROUNDUP(E22*0.75,2)</f>
        <v>3.75</v>
      </c>
      <c r="K22" s="62" t="s">
        <v>27</v>
      </c>
      <c r="L22" s="62"/>
      <c r="M22" s="62">
        <f>ROUNDUP((R5*E22)+(R6*J22)+(R7*(E22*2)),2)</f>
        <v>0</v>
      </c>
      <c r="N22" s="92">
        <f>M22</f>
        <v>0</v>
      </c>
      <c r="O22" s="80" t="s">
        <v>24</v>
      </c>
      <c r="P22" s="63" t="s">
        <v>123</v>
      </c>
      <c r="Q22" s="61"/>
      <c r="R22" s="64">
        <v>2</v>
      </c>
      <c r="S22" s="65">
        <f>ROUNDUP(R22*0.75,2)</f>
        <v>1.5</v>
      </c>
      <c r="T22" s="76">
        <f>ROUNDUP((R5*R22)+(R6*S22)+(R7*(R22*2)),2)</f>
        <v>0</v>
      </c>
    </row>
    <row r="23" spans="1:20" ht="18.75" customHeight="1" x14ac:dyDescent="0.15">
      <c r="A23" s="232"/>
      <c r="B23" s="80"/>
      <c r="C23" s="60"/>
      <c r="D23" s="61"/>
      <c r="E23" s="65"/>
      <c r="F23" s="62"/>
      <c r="G23" s="84"/>
      <c r="H23" s="88"/>
      <c r="I23" s="61"/>
      <c r="J23" s="62"/>
      <c r="K23" s="62"/>
      <c r="L23" s="62"/>
      <c r="M23" s="62"/>
      <c r="N23" s="92"/>
      <c r="O23" s="80"/>
      <c r="P23" s="63" t="s">
        <v>64</v>
      </c>
      <c r="Q23" s="61"/>
      <c r="R23" s="64">
        <v>2</v>
      </c>
      <c r="S23" s="65">
        <f>ROUNDUP(R23*0.75,2)</f>
        <v>1.5</v>
      </c>
      <c r="T23" s="76">
        <f>ROUNDUP((R5*R23)+(R6*S23)+(R7*(R23*2)),2)</f>
        <v>0</v>
      </c>
    </row>
    <row r="24" spans="1:20" ht="18.75" customHeight="1" x14ac:dyDescent="0.15">
      <c r="A24" s="232"/>
      <c r="B24" s="79"/>
      <c r="C24" s="54"/>
      <c r="D24" s="55"/>
      <c r="E24" s="56"/>
      <c r="F24" s="57"/>
      <c r="G24" s="83"/>
      <c r="H24" s="87"/>
      <c r="I24" s="55"/>
      <c r="J24" s="57"/>
      <c r="K24" s="57"/>
      <c r="L24" s="57"/>
      <c r="M24" s="57"/>
      <c r="N24" s="91"/>
      <c r="O24" s="79"/>
      <c r="P24" s="58"/>
      <c r="Q24" s="55"/>
      <c r="R24" s="59"/>
      <c r="S24" s="56"/>
      <c r="T24" s="75"/>
    </row>
    <row r="25" spans="1:20" ht="18.75" customHeight="1" x14ac:dyDescent="0.15">
      <c r="A25" s="232"/>
      <c r="B25" s="80" t="s">
        <v>43</v>
      </c>
      <c r="C25" s="60" t="s">
        <v>61</v>
      </c>
      <c r="D25" s="61" t="s">
        <v>62</v>
      </c>
      <c r="E25" s="73">
        <v>0.25</v>
      </c>
      <c r="F25" s="62" t="s">
        <v>63</v>
      </c>
      <c r="G25" s="84"/>
      <c r="H25" s="88" t="s">
        <v>61</v>
      </c>
      <c r="I25" s="61" t="s">
        <v>62</v>
      </c>
      <c r="J25" s="62">
        <f>ROUNDUP(E25*0.75,2)</f>
        <v>0.19</v>
      </c>
      <c r="K25" s="62" t="s">
        <v>63</v>
      </c>
      <c r="L25" s="62"/>
      <c r="M25" s="62">
        <f>ROUNDUP((R5*E25)+(R6*J25)+(R7*(E25*2)),2)</f>
        <v>0</v>
      </c>
      <c r="N25" s="92">
        <f>M25</f>
        <v>0</v>
      </c>
      <c r="O25" s="80" t="s">
        <v>24</v>
      </c>
      <c r="P25" s="63" t="s">
        <v>32</v>
      </c>
      <c r="Q25" s="61"/>
      <c r="R25" s="64">
        <v>100</v>
      </c>
      <c r="S25" s="65">
        <f>ROUNDUP(R25*0.75,2)</f>
        <v>75</v>
      </c>
      <c r="T25" s="76">
        <f>ROUNDUP((R5*R25)+(R6*S25)+(R7*(R25*2)),2)</f>
        <v>0</v>
      </c>
    </row>
    <row r="26" spans="1:20" ht="18.75" customHeight="1" x14ac:dyDescent="0.15">
      <c r="A26" s="232"/>
      <c r="B26" s="80"/>
      <c r="C26" s="60" t="s">
        <v>68</v>
      </c>
      <c r="D26" s="61"/>
      <c r="E26" s="65">
        <v>3</v>
      </c>
      <c r="F26" s="62" t="s">
        <v>27</v>
      </c>
      <c r="G26" s="84"/>
      <c r="H26" s="88" t="s">
        <v>68</v>
      </c>
      <c r="I26" s="61"/>
      <c r="J26" s="62">
        <f>ROUNDUP(E26*0.75,2)</f>
        <v>2.25</v>
      </c>
      <c r="K26" s="62" t="s">
        <v>27</v>
      </c>
      <c r="L26" s="62"/>
      <c r="M26" s="62">
        <f>ROUNDUP((R5*E26)+(R6*J26)+(R7*(E26*2)),2)</f>
        <v>0</v>
      </c>
      <c r="N26" s="92">
        <f>ROUND(M26+(M26*40/100),2)</f>
        <v>0</v>
      </c>
      <c r="O26" s="80"/>
      <c r="P26" s="63" t="s">
        <v>46</v>
      </c>
      <c r="Q26" s="61"/>
      <c r="R26" s="64">
        <v>3</v>
      </c>
      <c r="S26" s="65">
        <f>ROUNDUP(R26*0.75,2)</f>
        <v>2.25</v>
      </c>
      <c r="T26" s="76">
        <f>ROUNDUP((R5*R26)+(R6*S26)+(R7*(R26*2)),2)</f>
        <v>0</v>
      </c>
    </row>
    <row r="27" spans="1:20" ht="18.75" customHeight="1" x14ac:dyDescent="0.15">
      <c r="A27" s="232"/>
      <c r="B27" s="79"/>
      <c r="C27" s="54"/>
      <c r="D27" s="55"/>
      <c r="E27" s="56"/>
      <c r="F27" s="57"/>
      <c r="G27" s="83"/>
      <c r="H27" s="87"/>
      <c r="I27" s="55"/>
      <c r="J27" s="57"/>
      <c r="K27" s="57"/>
      <c r="L27" s="57"/>
      <c r="M27" s="57"/>
      <c r="N27" s="91"/>
      <c r="O27" s="79"/>
      <c r="P27" s="58"/>
      <c r="Q27" s="55"/>
      <c r="R27" s="59"/>
      <c r="S27" s="56"/>
      <c r="T27" s="75"/>
    </row>
    <row r="28" spans="1:20" ht="18.75" customHeight="1" x14ac:dyDescent="0.15">
      <c r="A28" s="232"/>
      <c r="B28" s="80" t="s">
        <v>260</v>
      </c>
      <c r="C28" s="60" t="s">
        <v>317</v>
      </c>
      <c r="D28" s="61"/>
      <c r="E28" s="95">
        <v>0.125</v>
      </c>
      <c r="F28" s="62" t="s">
        <v>63</v>
      </c>
      <c r="G28" s="84"/>
      <c r="H28" s="88" t="s">
        <v>316</v>
      </c>
      <c r="I28" s="61"/>
      <c r="J28" s="62">
        <f>ROUNDUP(E28*0.75,2)</f>
        <v>9.9999999999999992E-2</v>
      </c>
      <c r="K28" s="62" t="s">
        <v>63</v>
      </c>
      <c r="L28" s="62"/>
      <c r="M28" s="62">
        <f>ROUNDUP((R5*E28)+(R6*J28)+(R7*(E28*2)),2)</f>
        <v>0</v>
      </c>
      <c r="N28" s="92">
        <f>M28</f>
        <v>0</v>
      </c>
      <c r="O28" s="80" t="s">
        <v>89</v>
      </c>
      <c r="P28" s="63"/>
      <c r="Q28" s="61"/>
      <c r="R28" s="64"/>
      <c r="S28" s="65"/>
      <c r="T28" s="76"/>
    </row>
    <row r="29" spans="1:20" ht="18.75" customHeight="1" thickBot="1" x14ac:dyDescent="0.2">
      <c r="A29" s="233"/>
      <c r="B29" s="81"/>
      <c r="C29" s="67"/>
      <c r="D29" s="68"/>
      <c r="E29" s="69"/>
      <c r="F29" s="70"/>
      <c r="G29" s="85"/>
      <c r="H29" s="89"/>
      <c r="I29" s="68"/>
      <c r="J29" s="70"/>
      <c r="K29" s="70"/>
      <c r="L29" s="70"/>
      <c r="M29" s="70"/>
      <c r="N29" s="93"/>
      <c r="O29" s="81"/>
      <c r="P29" s="71"/>
      <c r="Q29" s="68"/>
      <c r="R29" s="72"/>
      <c r="S29" s="69"/>
      <c r="T29" s="77"/>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70</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23</v>
      </c>
      <c r="C10" s="48"/>
      <c r="D10" s="49"/>
      <c r="E10" s="50"/>
      <c r="F10" s="51"/>
      <c r="G10" s="82"/>
      <c r="H10" s="86"/>
      <c r="I10" s="49"/>
      <c r="J10" s="51"/>
      <c r="K10" s="51"/>
      <c r="L10" s="51"/>
      <c r="M10" s="51"/>
      <c r="N10" s="90"/>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71</v>
      </c>
      <c r="C12" s="60" t="s">
        <v>77</v>
      </c>
      <c r="D12" s="61"/>
      <c r="E12" s="65">
        <v>1</v>
      </c>
      <c r="F12" s="62" t="s">
        <v>79</v>
      </c>
      <c r="G12" s="84" t="s">
        <v>78</v>
      </c>
      <c r="H12" s="88" t="s">
        <v>77</v>
      </c>
      <c r="I12" s="61"/>
      <c r="J12" s="62">
        <f>ROUNDUP(E12*0.75,2)</f>
        <v>0.75</v>
      </c>
      <c r="K12" s="62" t="s">
        <v>79</v>
      </c>
      <c r="L12" s="62" t="s">
        <v>78</v>
      </c>
      <c r="M12" s="62">
        <f>ROUNDUP((R5*E12)+(R6*J12)+(R7*(E12*2)),2)</f>
        <v>0</v>
      </c>
      <c r="N12" s="92">
        <f>M12</f>
        <v>0</v>
      </c>
      <c r="O12" s="80" t="s">
        <v>72</v>
      </c>
      <c r="P12" s="63" t="s">
        <v>42</v>
      </c>
      <c r="Q12" s="61"/>
      <c r="R12" s="64">
        <v>0.05</v>
      </c>
      <c r="S12" s="65">
        <f>ROUNDUP(R12*0.75,2)</f>
        <v>0.04</v>
      </c>
      <c r="T12" s="76">
        <f>ROUNDUP((R5*R12)+(R6*S12)+(R7*(R12*2)),2)</f>
        <v>0</v>
      </c>
    </row>
    <row r="13" spans="1:21" ht="18.75" customHeight="1" x14ac:dyDescent="0.15">
      <c r="A13" s="232"/>
      <c r="B13" s="80"/>
      <c r="C13" s="60" t="s">
        <v>80</v>
      </c>
      <c r="D13" s="61" t="s">
        <v>52</v>
      </c>
      <c r="E13" s="66">
        <v>0.1</v>
      </c>
      <c r="F13" s="62" t="s">
        <v>45</v>
      </c>
      <c r="G13" s="84"/>
      <c r="H13" s="88" t="s">
        <v>80</v>
      </c>
      <c r="I13" s="61" t="s">
        <v>52</v>
      </c>
      <c r="J13" s="62">
        <f>ROUNDUP(E13*0.75,2)</f>
        <v>0.08</v>
      </c>
      <c r="K13" s="62" t="s">
        <v>45</v>
      </c>
      <c r="L13" s="62"/>
      <c r="M13" s="62">
        <f>ROUNDUP((R5*E13)+(R6*J13)+(R7*(E13*2)),2)</f>
        <v>0</v>
      </c>
      <c r="N13" s="92">
        <f>M13</f>
        <v>0</v>
      </c>
      <c r="O13" s="80" t="s">
        <v>73</v>
      </c>
      <c r="P13" s="63" t="s">
        <v>67</v>
      </c>
      <c r="Q13" s="61"/>
      <c r="R13" s="64">
        <v>0.01</v>
      </c>
      <c r="S13" s="65">
        <f>ROUNDUP(R13*0.75,2)</f>
        <v>0.01</v>
      </c>
      <c r="T13" s="76">
        <f>ROUNDUP((R5*R13)+(R6*S13)+(R7*(R13*2)),2)</f>
        <v>0</v>
      </c>
    </row>
    <row r="14" spans="1:21" ht="18.75" customHeight="1" x14ac:dyDescent="0.15">
      <c r="A14" s="232"/>
      <c r="B14" s="80"/>
      <c r="C14" s="60" t="s">
        <v>81</v>
      </c>
      <c r="D14" s="61"/>
      <c r="E14" s="65">
        <v>20</v>
      </c>
      <c r="F14" s="62" t="s">
        <v>27</v>
      </c>
      <c r="G14" s="84"/>
      <c r="H14" s="88" t="s">
        <v>81</v>
      </c>
      <c r="I14" s="61"/>
      <c r="J14" s="62">
        <f>ROUNDUP(E14*0.75,2)</f>
        <v>15</v>
      </c>
      <c r="K14" s="62" t="s">
        <v>27</v>
      </c>
      <c r="L14" s="62"/>
      <c r="M14" s="62">
        <f>ROUNDUP((R5*E14)+(R6*J14)+(R7*(E14*2)),2)</f>
        <v>0</v>
      </c>
      <c r="N14" s="92">
        <f>M14</f>
        <v>0</v>
      </c>
      <c r="O14" s="80" t="s">
        <v>74</v>
      </c>
      <c r="P14" s="63" t="s">
        <v>64</v>
      </c>
      <c r="Q14" s="61"/>
      <c r="R14" s="64">
        <v>2</v>
      </c>
      <c r="S14" s="65">
        <f>ROUNDUP(R14*0.75,2)</f>
        <v>1.5</v>
      </c>
      <c r="T14" s="76">
        <f>ROUNDUP((R5*R14)+(R6*S14)+(R7*(R14*2)),2)</f>
        <v>0</v>
      </c>
    </row>
    <row r="15" spans="1:21" ht="18.75" customHeight="1" x14ac:dyDescent="0.15">
      <c r="A15" s="232"/>
      <c r="B15" s="80"/>
      <c r="C15" s="60"/>
      <c r="D15" s="61"/>
      <c r="E15" s="65"/>
      <c r="F15" s="62"/>
      <c r="G15" s="84"/>
      <c r="H15" s="88"/>
      <c r="I15" s="61"/>
      <c r="J15" s="62"/>
      <c r="K15" s="62"/>
      <c r="L15" s="62"/>
      <c r="M15" s="62"/>
      <c r="N15" s="92"/>
      <c r="O15" s="80" t="s">
        <v>75</v>
      </c>
      <c r="P15" s="63" t="s">
        <v>64</v>
      </c>
      <c r="Q15" s="61"/>
      <c r="R15" s="64">
        <v>1</v>
      </c>
      <c r="S15" s="65">
        <f>ROUNDUP(R15*0.75,2)</f>
        <v>0.75</v>
      </c>
      <c r="T15" s="76">
        <f>ROUNDUP((R5*R15)+(R6*S15)+(R7*(R15*2)),2)</f>
        <v>0</v>
      </c>
    </row>
    <row r="16" spans="1:21" ht="18.75" customHeight="1" x14ac:dyDescent="0.15">
      <c r="A16" s="232"/>
      <c r="B16" s="80"/>
      <c r="C16" s="60"/>
      <c r="D16" s="61"/>
      <c r="E16" s="65"/>
      <c r="F16" s="62"/>
      <c r="G16" s="84"/>
      <c r="H16" s="88"/>
      <c r="I16" s="61"/>
      <c r="J16" s="62"/>
      <c r="K16" s="62"/>
      <c r="L16" s="62"/>
      <c r="M16" s="62"/>
      <c r="N16" s="92"/>
      <c r="O16" s="80" t="s">
        <v>76</v>
      </c>
      <c r="P16" s="63" t="s">
        <v>42</v>
      </c>
      <c r="Q16" s="61"/>
      <c r="R16" s="64">
        <v>0.05</v>
      </c>
      <c r="S16" s="65">
        <f>ROUNDUP(R16*0.75,2)</f>
        <v>0.04</v>
      </c>
      <c r="T16" s="76">
        <f>ROUNDUP((R5*R16)+(R6*S16)+(R7*(R16*2)),2)</f>
        <v>0</v>
      </c>
    </row>
    <row r="17" spans="1:20" ht="18.75" customHeight="1" x14ac:dyDescent="0.15">
      <c r="A17" s="232"/>
      <c r="B17" s="80"/>
      <c r="C17" s="60"/>
      <c r="D17" s="61"/>
      <c r="E17" s="65"/>
      <c r="F17" s="62"/>
      <c r="G17" s="84"/>
      <c r="H17" s="88"/>
      <c r="I17" s="61"/>
      <c r="J17" s="62"/>
      <c r="K17" s="62"/>
      <c r="L17" s="62"/>
      <c r="M17" s="62"/>
      <c r="N17" s="92"/>
      <c r="O17" s="80" t="s">
        <v>24</v>
      </c>
      <c r="P17" s="63"/>
      <c r="Q17" s="61"/>
      <c r="R17" s="64"/>
      <c r="S17" s="65"/>
      <c r="T17" s="76"/>
    </row>
    <row r="18" spans="1:20" ht="18.75" customHeight="1" x14ac:dyDescent="0.15">
      <c r="A18" s="232"/>
      <c r="B18" s="79"/>
      <c r="C18" s="54"/>
      <c r="D18" s="55"/>
      <c r="E18" s="56"/>
      <c r="F18" s="57"/>
      <c r="G18" s="83"/>
      <c r="H18" s="87"/>
      <c r="I18" s="55"/>
      <c r="J18" s="57"/>
      <c r="K18" s="57"/>
      <c r="L18" s="57"/>
      <c r="M18" s="57"/>
      <c r="N18" s="91"/>
      <c r="O18" s="79"/>
      <c r="P18" s="58"/>
      <c r="Q18" s="55"/>
      <c r="R18" s="59"/>
      <c r="S18" s="56"/>
      <c r="T18" s="75"/>
    </row>
    <row r="19" spans="1:20" ht="18.75" customHeight="1" x14ac:dyDescent="0.15">
      <c r="A19" s="232"/>
      <c r="B19" s="80" t="s">
        <v>82</v>
      </c>
      <c r="C19" s="60" t="s">
        <v>85</v>
      </c>
      <c r="D19" s="61"/>
      <c r="E19" s="65">
        <v>20</v>
      </c>
      <c r="F19" s="62" t="s">
        <v>27</v>
      </c>
      <c r="G19" s="84"/>
      <c r="H19" s="88" t="s">
        <v>85</v>
      </c>
      <c r="I19" s="61"/>
      <c r="J19" s="62">
        <f>ROUNDUP(E19*0.75,2)</f>
        <v>15</v>
      </c>
      <c r="K19" s="62" t="s">
        <v>27</v>
      </c>
      <c r="L19" s="62"/>
      <c r="M19" s="62">
        <f>ROUNDUP((R5*E19)+(R6*J19)+(R7*(E19*2)),2)</f>
        <v>0</v>
      </c>
      <c r="N19" s="92">
        <f>M19</f>
        <v>0</v>
      </c>
      <c r="O19" s="80" t="s">
        <v>83</v>
      </c>
      <c r="P19" s="63" t="s">
        <v>64</v>
      </c>
      <c r="Q19" s="61"/>
      <c r="R19" s="64">
        <v>1</v>
      </c>
      <c r="S19" s="65">
        <f>ROUNDUP(R19*0.75,2)</f>
        <v>0.75</v>
      </c>
      <c r="T19" s="76">
        <f>ROUNDUP((R5*R19)+(R6*S19)+(R7*(R19*2)),2)</f>
        <v>0</v>
      </c>
    </row>
    <row r="20" spans="1:20" ht="18.75" customHeight="1" x14ac:dyDescent="0.15">
      <c r="A20" s="232"/>
      <c r="B20" s="80"/>
      <c r="C20" s="60" t="s">
        <v>86</v>
      </c>
      <c r="D20" s="61"/>
      <c r="E20" s="65">
        <v>30</v>
      </c>
      <c r="F20" s="62" t="s">
        <v>27</v>
      </c>
      <c r="G20" s="84"/>
      <c r="H20" s="88" t="s">
        <v>86</v>
      </c>
      <c r="I20" s="61"/>
      <c r="J20" s="62">
        <f>ROUNDUP(E20*0.75,2)</f>
        <v>22.5</v>
      </c>
      <c r="K20" s="62" t="s">
        <v>27</v>
      </c>
      <c r="L20" s="62"/>
      <c r="M20" s="62">
        <f>ROUNDUP((R5*E20)+(R6*J20)+(R7*(E20*2)),2)</f>
        <v>0</v>
      </c>
      <c r="N20" s="92">
        <f>ROUND(M20+(M20*15/100),2)</f>
        <v>0</v>
      </c>
      <c r="O20" s="80" t="s">
        <v>84</v>
      </c>
      <c r="P20" s="63" t="s">
        <v>33</v>
      </c>
      <c r="Q20" s="61"/>
      <c r="R20" s="64">
        <v>1</v>
      </c>
      <c r="S20" s="65">
        <f>ROUNDUP(R20*0.75,2)</f>
        <v>0.75</v>
      </c>
      <c r="T20" s="76">
        <f>ROUNDUP((R5*R20)+(R6*S20)+(R7*(R20*2)),2)</f>
        <v>0</v>
      </c>
    </row>
    <row r="21" spans="1:20" ht="18.75" customHeight="1" x14ac:dyDescent="0.15">
      <c r="A21" s="232"/>
      <c r="B21" s="80"/>
      <c r="C21" s="60" t="s">
        <v>31</v>
      </c>
      <c r="D21" s="61"/>
      <c r="E21" s="65">
        <v>10</v>
      </c>
      <c r="F21" s="62" t="s">
        <v>27</v>
      </c>
      <c r="G21" s="84"/>
      <c r="H21" s="88" t="s">
        <v>31</v>
      </c>
      <c r="I21" s="61"/>
      <c r="J21" s="62">
        <f>ROUNDUP(E21*0.75,2)</f>
        <v>7.5</v>
      </c>
      <c r="K21" s="62" t="s">
        <v>27</v>
      </c>
      <c r="L21" s="62"/>
      <c r="M21" s="62">
        <f>ROUNDUP((R5*E21)+(R6*J21)+(R7*(E21*2)),2)</f>
        <v>0</v>
      </c>
      <c r="N21" s="92">
        <f>ROUND(M21+(M21*10/100),2)</f>
        <v>0</v>
      </c>
      <c r="O21" s="80" t="s">
        <v>44</v>
      </c>
      <c r="P21" s="63" t="s">
        <v>34</v>
      </c>
      <c r="Q21" s="61"/>
      <c r="R21" s="64">
        <v>1</v>
      </c>
      <c r="S21" s="65">
        <f>ROUNDUP(R21*0.75,2)</f>
        <v>0.75</v>
      </c>
      <c r="T21" s="76">
        <f>ROUNDUP((R5*R21)+(R6*S21)+(R7*(R21*2)),2)</f>
        <v>0</v>
      </c>
    </row>
    <row r="22" spans="1:20" ht="18.75" customHeight="1" x14ac:dyDescent="0.15">
      <c r="A22" s="232"/>
      <c r="B22" s="80"/>
      <c r="C22" s="60"/>
      <c r="D22" s="61"/>
      <c r="E22" s="65"/>
      <c r="F22" s="62"/>
      <c r="G22" s="84"/>
      <c r="H22" s="88"/>
      <c r="I22" s="61"/>
      <c r="J22" s="62"/>
      <c r="K22" s="62"/>
      <c r="L22" s="62"/>
      <c r="M22" s="62"/>
      <c r="N22" s="92"/>
      <c r="O22" s="80"/>
      <c r="P22" s="63" t="s">
        <v>35</v>
      </c>
      <c r="Q22" s="61" t="s">
        <v>36</v>
      </c>
      <c r="R22" s="64">
        <v>1</v>
      </c>
      <c r="S22" s="65">
        <f>ROUNDUP(R22*0.75,2)</f>
        <v>0.75</v>
      </c>
      <c r="T22" s="76">
        <f>ROUNDUP((R5*R22)+(R6*S22)+(R7*(R22*2)),2)</f>
        <v>0</v>
      </c>
    </row>
    <row r="23" spans="1:20" ht="18.75" customHeight="1" x14ac:dyDescent="0.15">
      <c r="A23" s="232"/>
      <c r="B23" s="80"/>
      <c r="C23" s="60"/>
      <c r="D23" s="61"/>
      <c r="E23" s="65"/>
      <c r="F23" s="62"/>
      <c r="G23" s="84"/>
      <c r="H23" s="88"/>
      <c r="I23" s="61"/>
      <c r="J23" s="62"/>
      <c r="K23" s="62"/>
      <c r="L23" s="62"/>
      <c r="M23" s="62"/>
      <c r="N23" s="92"/>
      <c r="O23" s="80"/>
      <c r="P23" s="63" t="s">
        <v>32</v>
      </c>
      <c r="Q23" s="61"/>
      <c r="R23" s="64">
        <v>20</v>
      </c>
      <c r="S23" s="65">
        <f>ROUNDUP(R23*0.75,2)</f>
        <v>15</v>
      </c>
      <c r="T23" s="76">
        <f>ROUNDUP((R5*R23)+(R6*S23)+(R7*(R23*2)),2)</f>
        <v>0</v>
      </c>
    </row>
    <row r="24" spans="1:20" ht="18.75" customHeight="1" x14ac:dyDescent="0.15">
      <c r="A24" s="232"/>
      <c r="B24" s="79"/>
      <c r="C24" s="54"/>
      <c r="D24" s="55"/>
      <c r="E24" s="56"/>
      <c r="F24" s="57"/>
      <c r="G24" s="83"/>
      <c r="H24" s="87"/>
      <c r="I24" s="55"/>
      <c r="J24" s="57"/>
      <c r="K24" s="57"/>
      <c r="L24" s="57"/>
      <c r="M24" s="57"/>
      <c r="N24" s="91"/>
      <c r="O24" s="79"/>
      <c r="P24" s="58"/>
      <c r="Q24" s="55"/>
      <c r="R24" s="59"/>
      <c r="S24" s="56"/>
      <c r="T24" s="75"/>
    </row>
    <row r="25" spans="1:20" ht="18.75" customHeight="1" x14ac:dyDescent="0.15">
      <c r="A25" s="232"/>
      <c r="B25" s="80" t="s">
        <v>43</v>
      </c>
      <c r="C25" s="60" t="s">
        <v>87</v>
      </c>
      <c r="D25" s="61"/>
      <c r="E25" s="65">
        <v>5</v>
      </c>
      <c r="F25" s="62" t="s">
        <v>27</v>
      </c>
      <c r="G25" s="84"/>
      <c r="H25" s="88" t="s">
        <v>87</v>
      </c>
      <c r="I25" s="61"/>
      <c r="J25" s="62">
        <f>ROUNDUP(E25*0.75,2)</f>
        <v>3.75</v>
      </c>
      <c r="K25" s="62" t="s">
        <v>27</v>
      </c>
      <c r="L25" s="62"/>
      <c r="M25" s="62">
        <f>ROUNDUP((R5*E25)+(R6*J25)+(R7*(E25*2)),2)</f>
        <v>0</v>
      </c>
      <c r="N25" s="92">
        <f>M25</f>
        <v>0</v>
      </c>
      <c r="O25" s="80" t="s">
        <v>44</v>
      </c>
      <c r="P25" s="63" t="s">
        <v>32</v>
      </c>
      <c r="Q25" s="61"/>
      <c r="R25" s="64">
        <v>100</v>
      </c>
      <c r="S25" s="65">
        <f>ROUNDUP(R25*0.75,2)</f>
        <v>75</v>
      </c>
      <c r="T25" s="76">
        <f>ROUNDUP((R5*R25)+(R6*S25)+(R7*(R25*2)),2)</f>
        <v>0</v>
      </c>
    </row>
    <row r="26" spans="1:20" ht="18.75" customHeight="1" x14ac:dyDescent="0.15">
      <c r="A26" s="232"/>
      <c r="B26" s="80"/>
      <c r="C26" s="60" t="s">
        <v>61</v>
      </c>
      <c r="D26" s="61" t="s">
        <v>62</v>
      </c>
      <c r="E26" s="73">
        <v>0.25</v>
      </c>
      <c r="F26" s="62" t="s">
        <v>63</v>
      </c>
      <c r="G26" s="84"/>
      <c r="H26" s="88" t="s">
        <v>61</v>
      </c>
      <c r="I26" s="61" t="s">
        <v>62</v>
      </c>
      <c r="J26" s="62">
        <f>ROUNDUP(E26*0.75,2)</f>
        <v>0.19</v>
      </c>
      <c r="K26" s="62" t="s">
        <v>63</v>
      </c>
      <c r="L26" s="62"/>
      <c r="M26" s="62">
        <f>ROUNDUP((R5*E26)+(R6*J26)+(R7*(E26*2)),2)</f>
        <v>0</v>
      </c>
      <c r="N26" s="92">
        <f>M26</f>
        <v>0</v>
      </c>
      <c r="O26" s="80"/>
      <c r="P26" s="63" t="s">
        <v>46</v>
      </c>
      <c r="Q26" s="61"/>
      <c r="R26" s="64">
        <v>3</v>
      </c>
      <c r="S26" s="65">
        <f>ROUNDUP(R26*0.75,2)</f>
        <v>2.25</v>
      </c>
      <c r="T26" s="76">
        <f>ROUNDUP((R5*R26)+(R6*S26)+(R7*(R26*2)),2)</f>
        <v>0</v>
      </c>
    </row>
    <row r="27" spans="1:20" ht="18.75" customHeight="1" x14ac:dyDescent="0.15">
      <c r="A27" s="232"/>
      <c r="B27" s="79"/>
      <c r="C27" s="54"/>
      <c r="D27" s="55"/>
      <c r="E27" s="56"/>
      <c r="F27" s="57"/>
      <c r="G27" s="83"/>
      <c r="H27" s="87"/>
      <c r="I27" s="55"/>
      <c r="J27" s="57"/>
      <c r="K27" s="57"/>
      <c r="L27" s="57"/>
      <c r="M27" s="57"/>
      <c r="N27" s="91"/>
      <c r="O27" s="79"/>
      <c r="P27" s="58"/>
      <c r="Q27" s="55"/>
      <c r="R27" s="59"/>
      <c r="S27" s="56"/>
      <c r="T27" s="75"/>
    </row>
    <row r="28" spans="1:20" ht="18.75" customHeight="1" x14ac:dyDescent="0.15">
      <c r="A28" s="232"/>
      <c r="B28" s="80" t="s">
        <v>88</v>
      </c>
      <c r="C28" s="60" t="s">
        <v>90</v>
      </c>
      <c r="D28" s="61"/>
      <c r="E28" s="94">
        <v>0.16666666666666666</v>
      </c>
      <c r="F28" s="62" t="s">
        <v>63</v>
      </c>
      <c r="G28" s="84"/>
      <c r="H28" s="88" t="s">
        <v>90</v>
      </c>
      <c r="I28" s="61"/>
      <c r="J28" s="62">
        <f>ROUNDUP(E28*0.75,2)</f>
        <v>0.13</v>
      </c>
      <c r="K28" s="62" t="s">
        <v>63</v>
      </c>
      <c r="L28" s="62"/>
      <c r="M28" s="62">
        <f>ROUNDUP((R5*E28)+(R6*J28)+(R7*(E28*2)),2)</f>
        <v>0</v>
      </c>
      <c r="N28" s="92">
        <f>M28</f>
        <v>0</v>
      </c>
      <c r="O28" s="80" t="s">
        <v>89</v>
      </c>
      <c r="P28" s="63"/>
      <c r="Q28" s="61"/>
      <c r="R28" s="64"/>
      <c r="S28" s="65"/>
      <c r="T28" s="76"/>
    </row>
    <row r="29" spans="1:20" ht="18.75" customHeight="1" thickBot="1" x14ac:dyDescent="0.2">
      <c r="A29" s="233"/>
      <c r="B29" s="81"/>
      <c r="C29" s="67"/>
      <c r="D29" s="68"/>
      <c r="E29" s="69"/>
      <c r="F29" s="70"/>
      <c r="G29" s="85"/>
      <c r="H29" s="89"/>
      <c r="I29" s="68"/>
      <c r="J29" s="70"/>
      <c r="K29" s="70"/>
      <c r="L29" s="70"/>
      <c r="M29" s="70"/>
      <c r="N29" s="93"/>
      <c r="O29" s="81"/>
      <c r="P29" s="71"/>
      <c r="Q29" s="68"/>
      <c r="R29" s="72"/>
      <c r="S29" s="69"/>
      <c r="T29" s="77"/>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23EC0-9522-4719-B0C1-FE18D783E4C4}">
  <sheetPr>
    <pageSetUpPr fitToPage="1"/>
  </sheetPr>
  <dimension ref="A1:U60"/>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259</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378</v>
      </c>
      <c r="C13" s="120" t="s">
        <v>171</v>
      </c>
      <c r="D13" s="120" t="s">
        <v>78</v>
      </c>
      <c r="E13" s="61"/>
      <c r="F13" s="61"/>
      <c r="G13" s="120"/>
      <c r="H13" s="129">
        <v>0.7</v>
      </c>
      <c r="I13" s="120" t="s">
        <v>378</v>
      </c>
      <c r="J13" s="120" t="s">
        <v>171</v>
      </c>
      <c r="K13" s="129">
        <v>0.3</v>
      </c>
      <c r="L13" s="120" t="s">
        <v>379</v>
      </c>
      <c r="M13" s="120" t="s">
        <v>171</v>
      </c>
      <c r="N13" s="128">
        <v>0.2</v>
      </c>
      <c r="O13" s="118" t="s">
        <v>78</v>
      </c>
    </row>
    <row r="14" spans="1:21" ht="14.25" x14ac:dyDescent="0.15">
      <c r="A14" s="255"/>
      <c r="B14" s="120"/>
      <c r="C14" s="120" t="s">
        <v>30</v>
      </c>
      <c r="D14" s="120"/>
      <c r="E14" s="61"/>
      <c r="F14" s="61"/>
      <c r="G14" s="120"/>
      <c r="H14" s="119">
        <v>10</v>
      </c>
      <c r="I14" s="120"/>
      <c r="J14" s="120" t="s">
        <v>30</v>
      </c>
      <c r="K14" s="119">
        <v>10</v>
      </c>
      <c r="L14" s="120"/>
      <c r="M14" s="120" t="s">
        <v>30</v>
      </c>
      <c r="N14" s="119">
        <v>10</v>
      </c>
      <c r="O14" s="118"/>
    </row>
    <row r="15" spans="1:21" ht="14.25" x14ac:dyDescent="0.15">
      <c r="A15" s="255"/>
      <c r="B15" s="120"/>
      <c r="C15" s="120" t="s">
        <v>172</v>
      </c>
      <c r="D15" s="120"/>
      <c r="E15" s="61"/>
      <c r="F15" s="61"/>
      <c r="G15" s="120"/>
      <c r="H15" s="119">
        <v>5</v>
      </c>
      <c r="I15" s="120"/>
      <c r="J15" s="120" t="s">
        <v>172</v>
      </c>
      <c r="K15" s="119">
        <v>5</v>
      </c>
      <c r="L15" s="123"/>
      <c r="M15" s="123"/>
      <c r="N15" s="122"/>
      <c r="O15" s="126"/>
    </row>
    <row r="16" spans="1:21" ht="14.25" x14ac:dyDescent="0.15">
      <c r="A16" s="255"/>
      <c r="B16" s="120"/>
      <c r="C16" s="120" t="s">
        <v>173</v>
      </c>
      <c r="D16" s="120"/>
      <c r="E16" s="61"/>
      <c r="F16" s="61"/>
      <c r="G16" s="120"/>
      <c r="H16" s="119">
        <v>5</v>
      </c>
      <c r="I16" s="120"/>
      <c r="J16" s="120" t="s">
        <v>173</v>
      </c>
      <c r="K16" s="119">
        <v>5</v>
      </c>
      <c r="L16" s="120" t="s">
        <v>380</v>
      </c>
      <c r="M16" s="120" t="s">
        <v>81</v>
      </c>
      <c r="N16" s="119">
        <v>10</v>
      </c>
      <c r="O16" s="118"/>
    </row>
    <row r="17" spans="1:15" ht="14.25" x14ac:dyDescent="0.15">
      <c r="A17" s="255"/>
      <c r="B17" s="120"/>
      <c r="C17" s="120"/>
      <c r="D17" s="120"/>
      <c r="E17" s="61"/>
      <c r="F17" s="61"/>
      <c r="G17" s="120" t="s">
        <v>32</v>
      </c>
      <c r="H17" s="119" t="s">
        <v>439</v>
      </c>
      <c r="I17" s="120"/>
      <c r="J17" s="120"/>
      <c r="K17" s="119"/>
      <c r="L17" s="120"/>
      <c r="M17" s="120" t="s">
        <v>31</v>
      </c>
      <c r="N17" s="119">
        <v>5</v>
      </c>
      <c r="O17" s="118"/>
    </row>
    <row r="18" spans="1:15" ht="14.25" x14ac:dyDescent="0.15">
      <c r="A18" s="255"/>
      <c r="B18" s="123"/>
      <c r="C18" s="123"/>
      <c r="D18" s="123"/>
      <c r="E18" s="55"/>
      <c r="F18" s="55"/>
      <c r="G18" s="123"/>
      <c r="H18" s="122"/>
      <c r="I18" s="123"/>
      <c r="J18" s="123"/>
      <c r="K18" s="122"/>
      <c r="L18" s="120"/>
      <c r="M18" s="120" t="s">
        <v>100</v>
      </c>
      <c r="N18" s="119">
        <v>5</v>
      </c>
      <c r="O18" s="118"/>
    </row>
    <row r="19" spans="1:15" ht="14.25" x14ac:dyDescent="0.15">
      <c r="A19" s="255"/>
      <c r="B19" s="120" t="s">
        <v>174</v>
      </c>
      <c r="C19" s="120" t="s">
        <v>81</v>
      </c>
      <c r="D19" s="120"/>
      <c r="E19" s="61"/>
      <c r="F19" s="61"/>
      <c r="G19" s="120"/>
      <c r="H19" s="119">
        <v>20</v>
      </c>
      <c r="I19" s="120" t="s">
        <v>174</v>
      </c>
      <c r="J19" s="120" t="s">
        <v>81</v>
      </c>
      <c r="K19" s="119">
        <v>10</v>
      </c>
      <c r="L19" s="123"/>
      <c r="M19" s="123"/>
      <c r="N19" s="122"/>
      <c r="O19" s="126"/>
    </row>
    <row r="20" spans="1:15" ht="14.25" x14ac:dyDescent="0.15">
      <c r="A20" s="255"/>
      <c r="B20" s="120"/>
      <c r="C20" s="120" t="s">
        <v>31</v>
      </c>
      <c r="D20" s="120"/>
      <c r="E20" s="61"/>
      <c r="F20" s="61"/>
      <c r="G20" s="120"/>
      <c r="H20" s="119">
        <v>5</v>
      </c>
      <c r="I20" s="120"/>
      <c r="J20" s="120" t="s">
        <v>31</v>
      </c>
      <c r="K20" s="119">
        <v>5</v>
      </c>
      <c r="L20" s="120" t="s">
        <v>382</v>
      </c>
      <c r="M20" s="120" t="s">
        <v>316</v>
      </c>
      <c r="N20" s="158">
        <v>0.08</v>
      </c>
      <c r="O20" s="118"/>
    </row>
    <row r="21" spans="1:15" ht="14.25" x14ac:dyDescent="0.15">
      <c r="A21" s="255"/>
      <c r="B21" s="120"/>
      <c r="C21" s="120" t="s">
        <v>100</v>
      </c>
      <c r="D21" s="120"/>
      <c r="E21" s="61"/>
      <c r="F21" s="61"/>
      <c r="G21" s="120"/>
      <c r="H21" s="119">
        <v>5</v>
      </c>
      <c r="I21" s="120"/>
      <c r="J21" s="120" t="s">
        <v>100</v>
      </c>
      <c r="K21" s="119">
        <v>5</v>
      </c>
      <c r="L21" s="120"/>
      <c r="M21" s="120"/>
      <c r="N21" s="119"/>
      <c r="O21" s="118"/>
    </row>
    <row r="22" spans="1:15" ht="14.25" x14ac:dyDescent="0.15">
      <c r="A22" s="255"/>
      <c r="B22" s="123"/>
      <c r="C22" s="123"/>
      <c r="D22" s="123"/>
      <c r="E22" s="55"/>
      <c r="F22" s="55"/>
      <c r="G22" s="123"/>
      <c r="H22" s="122"/>
      <c r="I22" s="123"/>
      <c r="J22" s="123"/>
      <c r="K22" s="122"/>
      <c r="L22" s="120"/>
      <c r="M22" s="120"/>
      <c r="N22" s="119"/>
      <c r="O22" s="118"/>
    </row>
    <row r="23" spans="1:15" ht="14.25" x14ac:dyDescent="0.15">
      <c r="A23" s="255"/>
      <c r="B23" s="120" t="s">
        <v>43</v>
      </c>
      <c r="C23" s="120" t="s">
        <v>61</v>
      </c>
      <c r="D23" s="120"/>
      <c r="E23" s="61" t="s">
        <v>62</v>
      </c>
      <c r="F23" s="157"/>
      <c r="G23" s="120"/>
      <c r="H23" s="121">
        <v>0.13</v>
      </c>
      <c r="I23" s="120" t="s">
        <v>43</v>
      </c>
      <c r="J23" s="120" t="s">
        <v>440</v>
      </c>
      <c r="K23" s="121">
        <v>0.13</v>
      </c>
      <c r="L23" s="120"/>
      <c r="M23" s="120"/>
      <c r="N23" s="119"/>
      <c r="O23" s="118"/>
    </row>
    <row r="24" spans="1:15" ht="14.25" x14ac:dyDescent="0.15">
      <c r="A24" s="255"/>
      <c r="B24" s="120"/>
      <c r="C24" s="120"/>
      <c r="D24" s="120"/>
      <c r="E24" s="61"/>
      <c r="F24" s="61"/>
      <c r="G24" s="120" t="s">
        <v>32</v>
      </c>
      <c r="H24" s="119" t="s">
        <v>439</v>
      </c>
      <c r="I24" s="120"/>
      <c r="J24" s="120"/>
      <c r="K24" s="119"/>
      <c r="L24" s="120"/>
      <c r="M24" s="120"/>
      <c r="N24" s="119"/>
      <c r="O24" s="118"/>
    </row>
    <row r="25" spans="1:15" ht="14.25" x14ac:dyDescent="0.15">
      <c r="A25" s="255"/>
      <c r="B25" s="120"/>
      <c r="C25" s="120"/>
      <c r="D25" s="120"/>
      <c r="E25" s="61"/>
      <c r="F25" s="61"/>
      <c r="G25" s="120" t="s">
        <v>46</v>
      </c>
      <c r="H25" s="119" t="s">
        <v>438</v>
      </c>
      <c r="I25" s="120"/>
      <c r="J25" s="120"/>
      <c r="K25" s="119"/>
      <c r="L25" s="120"/>
      <c r="M25" s="120"/>
      <c r="N25" s="119"/>
      <c r="O25" s="118"/>
    </row>
    <row r="26" spans="1:15" ht="14.25" x14ac:dyDescent="0.15">
      <c r="A26" s="255"/>
      <c r="B26" s="123"/>
      <c r="C26" s="123"/>
      <c r="D26" s="123"/>
      <c r="E26" s="55"/>
      <c r="F26" s="55"/>
      <c r="G26" s="123"/>
      <c r="H26" s="122"/>
      <c r="I26" s="123"/>
      <c r="J26" s="123"/>
      <c r="K26" s="122"/>
      <c r="L26" s="120"/>
      <c r="M26" s="120"/>
      <c r="N26" s="119"/>
      <c r="O26" s="118"/>
    </row>
    <row r="27" spans="1:15" ht="14.25" x14ac:dyDescent="0.15">
      <c r="A27" s="255"/>
      <c r="B27" s="120" t="s">
        <v>260</v>
      </c>
      <c r="C27" s="120" t="s">
        <v>316</v>
      </c>
      <c r="D27" s="120"/>
      <c r="E27" s="61"/>
      <c r="F27" s="61"/>
      <c r="G27" s="120"/>
      <c r="H27" s="125">
        <v>0.1</v>
      </c>
      <c r="I27" s="120" t="s">
        <v>260</v>
      </c>
      <c r="J27" s="120" t="s">
        <v>316</v>
      </c>
      <c r="K27" s="125">
        <v>0.1</v>
      </c>
      <c r="L27" s="120"/>
      <c r="M27" s="120"/>
      <c r="N27" s="119"/>
      <c r="O27" s="118"/>
    </row>
    <row r="28" spans="1:15" ht="15" thickBot="1" x14ac:dyDescent="0.2">
      <c r="A28" s="256"/>
      <c r="B28" s="117"/>
      <c r="C28" s="117"/>
      <c r="D28" s="117"/>
      <c r="E28" s="68"/>
      <c r="F28" s="68"/>
      <c r="G28" s="117"/>
      <c r="H28" s="116"/>
      <c r="I28" s="117"/>
      <c r="J28" s="117"/>
      <c r="K28" s="116"/>
      <c r="L28" s="117"/>
      <c r="M28" s="117"/>
      <c r="N28" s="116"/>
      <c r="O28" s="115"/>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sheetData>
  <mergeCells count="15">
    <mergeCell ref="L8:N8"/>
    <mergeCell ref="O8:O10"/>
    <mergeCell ref="I9:K9"/>
    <mergeCell ref="L9:N9"/>
    <mergeCell ref="A11:A28"/>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B25"/>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261</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186</v>
      </c>
      <c r="C10" s="48" t="s">
        <v>93</v>
      </c>
      <c r="D10" s="49"/>
      <c r="E10" s="50">
        <v>30</v>
      </c>
      <c r="F10" s="51" t="s">
        <v>27</v>
      </c>
      <c r="G10" s="82"/>
      <c r="H10" s="86" t="s">
        <v>93</v>
      </c>
      <c r="I10" s="49"/>
      <c r="J10" s="51">
        <f>ROUNDUP(E10*0.75,2)</f>
        <v>22.5</v>
      </c>
      <c r="K10" s="51" t="s">
        <v>27</v>
      </c>
      <c r="L10" s="51"/>
      <c r="M10" s="51">
        <f>ROUNDUP((R5*E10)+(R6*J10)+(R7*(E10*2)),2)</f>
        <v>0</v>
      </c>
      <c r="N10" s="90">
        <f>M10</f>
        <v>0</v>
      </c>
      <c r="O10" s="78" t="s">
        <v>187</v>
      </c>
      <c r="P10" s="52" t="s">
        <v>23</v>
      </c>
      <c r="Q10" s="49"/>
      <c r="R10" s="53">
        <v>110</v>
      </c>
      <c r="S10" s="50">
        <f>ROUNDUP(R10*0.75,2)</f>
        <v>82.5</v>
      </c>
      <c r="T10" s="74">
        <f>ROUNDUP((R5*R10)+(R6*S10)+(R7*(R10*2)),2)</f>
        <v>0</v>
      </c>
    </row>
    <row r="11" spans="1:21" ht="18.75" customHeight="1" x14ac:dyDescent="0.15">
      <c r="A11" s="232"/>
      <c r="B11" s="80"/>
      <c r="C11" s="60" t="s">
        <v>30</v>
      </c>
      <c r="D11" s="61"/>
      <c r="E11" s="65">
        <v>50</v>
      </c>
      <c r="F11" s="62" t="s">
        <v>27</v>
      </c>
      <c r="G11" s="84"/>
      <c r="H11" s="88" t="s">
        <v>30</v>
      </c>
      <c r="I11" s="61"/>
      <c r="J11" s="62">
        <f>ROUNDUP(E11*0.75,2)</f>
        <v>37.5</v>
      </c>
      <c r="K11" s="62" t="s">
        <v>27</v>
      </c>
      <c r="L11" s="62"/>
      <c r="M11" s="62">
        <f>ROUNDUP((R5*E11)+(R6*J11)+(R7*(E11*2)),2)</f>
        <v>0</v>
      </c>
      <c r="N11" s="92">
        <f>ROUND(M11+(M11*6/100),2)</f>
        <v>0</v>
      </c>
      <c r="O11" s="80" t="s">
        <v>188</v>
      </c>
      <c r="P11" s="63" t="s">
        <v>65</v>
      </c>
      <c r="Q11" s="61"/>
      <c r="R11" s="64">
        <v>0.5</v>
      </c>
      <c r="S11" s="65">
        <f>ROUNDUP(R11*0.75,2)</f>
        <v>0.38</v>
      </c>
      <c r="T11" s="76">
        <f>ROUNDUP((R5*R11)+(R6*S11)+(R7*(R11*2)),2)</f>
        <v>0</v>
      </c>
    </row>
    <row r="12" spans="1:21" ht="18.75" customHeight="1" x14ac:dyDescent="0.15">
      <c r="A12" s="232"/>
      <c r="B12" s="80"/>
      <c r="C12" s="60" t="s">
        <v>191</v>
      </c>
      <c r="D12" s="61"/>
      <c r="E12" s="65">
        <v>50</v>
      </c>
      <c r="F12" s="62" t="s">
        <v>27</v>
      </c>
      <c r="G12" s="84"/>
      <c r="H12" s="88" t="s">
        <v>191</v>
      </c>
      <c r="I12" s="61"/>
      <c r="J12" s="62">
        <f>ROUNDUP(E12*0.75,2)</f>
        <v>37.5</v>
      </c>
      <c r="K12" s="62" t="s">
        <v>27</v>
      </c>
      <c r="L12" s="62"/>
      <c r="M12" s="62">
        <f>ROUNDUP((R5*E12)+(R6*J12)+(R7*(E12*2)),2)</f>
        <v>0</v>
      </c>
      <c r="N12" s="92">
        <f>M12</f>
        <v>0</v>
      </c>
      <c r="O12" s="80" t="s">
        <v>189</v>
      </c>
      <c r="P12" s="63" t="s">
        <v>64</v>
      </c>
      <c r="Q12" s="61"/>
      <c r="R12" s="64">
        <v>2</v>
      </c>
      <c r="S12" s="65">
        <f>ROUNDUP(R12*0.75,2)</f>
        <v>1.5</v>
      </c>
      <c r="T12" s="76">
        <f>ROUNDUP((R5*R12)+(R6*S12)+(R7*(R12*2)),2)</f>
        <v>0</v>
      </c>
    </row>
    <row r="13" spans="1:21" ht="18.75" customHeight="1" x14ac:dyDescent="0.15">
      <c r="A13" s="232"/>
      <c r="B13" s="80"/>
      <c r="C13" s="60" t="s">
        <v>192</v>
      </c>
      <c r="D13" s="61" t="s">
        <v>36</v>
      </c>
      <c r="E13" s="65">
        <v>10</v>
      </c>
      <c r="F13" s="62" t="s">
        <v>27</v>
      </c>
      <c r="G13" s="84"/>
      <c r="H13" s="88" t="s">
        <v>192</v>
      </c>
      <c r="I13" s="61" t="s">
        <v>36</v>
      </c>
      <c r="J13" s="62">
        <f>ROUNDUP(E13*0.75,2)</f>
        <v>7.5</v>
      </c>
      <c r="K13" s="62" t="s">
        <v>27</v>
      </c>
      <c r="L13" s="62"/>
      <c r="M13" s="62">
        <f>ROUNDUP((R5*E13)+(R6*J13)+(R7*(E13*2)),2)</f>
        <v>0</v>
      </c>
      <c r="N13" s="92">
        <f>M13</f>
        <v>0</v>
      </c>
      <c r="O13" s="80" t="s">
        <v>190</v>
      </c>
      <c r="P13" s="63" t="s">
        <v>53</v>
      </c>
      <c r="Q13" s="61"/>
      <c r="R13" s="64">
        <v>30</v>
      </c>
      <c r="S13" s="65">
        <f>ROUNDUP(R13*0.75,2)</f>
        <v>22.5</v>
      </c>
      <c r="T13" s="76">
        <f>ROUNDUP((R5*R13)+(R6*S13)+(R7*(R13*2)),2)</f>
        <v>0</v>
      </c>
    </row>
    <row r="14" spans="1:21" ht="18.75" customHeight="1" x14ac:dyDescent="0.15">
      <c r="A14" s="232"/>
      <c r="B14" s="80"/>
      <c r="C14" s="60" t="s">
        <v>181</v>
      </c>
      <c r="D14" s="61"/>
      <c r="E14" s="65">
        <v>5</v>
      </c>
      <c r="F14" s="62" t="s">
        <v>27</v>
      </c>
      <c r="G14" s="84"/>
      <c r="H14" s="88" t="s">
        <v>181</v>
      </c>
      <c r="I14" s="61"/>
      <c r="J14" s="62">
        <f>ROUNDUP(E14*0.75,2)</f>
        <v>3.75</v>
      </c>
      <c r="K14" s="62" t="s">
        <v>27</v>
      </c>
      <c r="L14" s="62"/>
      <c r="M14" s="62">
        <f>ROUNDUP((R5*E14)+(R6*J14)+(R7*(E14*2)),2)</f>
        <v>0</v>
      </c>
      <c r="N14" s="92"/>
      <c r="O14" s="80" t="s">
        <v>57</v>
      </c>
      <c r="P14" s="63" t="s">
        <v>33</v>
      </c>
      <c r="Q14" s="61"/>
      <c r="R14" s="64">
        <v>1</v>
      </c>
      <c r="S14" s="65">
        <f>ROUNDUP(R14*0.75,2)</f>
        <v>0.75</v>
      </c>
      <c r="T14" s="76">
        <f>ROUNDUP((R5*R14)+(R6*S14)+(R7*(R14*2)),2)</f>
        <v>0</v>
      </c>
    </row>
    <row r="15" spans="1:21" ht="18.75" customHeight="1" x14ac:dyDescent="0.15">
      <c r="A15" s="232"/>
      <c r="B15" s="80"/>
      <c r="C15" s="60"/>
      <c r="D15" s="61"/>
      <c r="E15" s="65"/>
      <c r="F15" s="62"/>
      <c r="G15" s="84"/>
      <c r="H15" s="88"/>
      <c r="I15" s="61"/>
      <c r="J15" s="62"/>
      <c r="K15" s="62"/>
      <c r="L15" s="62"/>
      <c r="M15" s="62"/>
      <c r="N15" s="92"/>
      <c r="O15" s="80" t="s">
        <v>44</v>
      </c>
      <c r="P15" s="63"/>
      <c r="Q15" s="61"/>
      <c r="R15" s="64"/>
      <c r="S15" s="65"/>
      <c r="T15" s="76"/>
    </row>
    <row r="16" spans="1:21" ht="18.75" customHeight="1" x14ac:dyDescent="0.15">
      <c r="A16" s="232"/>
      <c r="B16" s="80"/>
      <c r="C16" s="60"/>
      <c r="D16" s="61"/>
      <c r="E16" s="65"/>
      <c r="F16" s="62"/>
      <c r="G16" s="84"/>
      <c r="H16" s="88"/>
      <c r="I16" s="61"/>
      <c r="J16" s="62"/>
      <c r="K16" s="62"/>
      <c r="L16" s="62"/>
      <c r="M16" s="62"/>
      <c r="N16" s="92"/>
      <c r="O16" s="80"/>
      <c r="P16" s="63"/>
      <c r="Q16" s="61"/>
      <c r="R16" s="64"/>
      <c r="S16" s="65"/>
      <c r="T16" s="76"/>
    </row>
    <row r="17" spans="1:20" ht="18.75" customHeight="1" x14ac:dyDescent="0.15">
      <c r="A17" s="232"/>
      <c r="B17" s="79"/>
      <c r="C17" s="54"/>
      <c r="D17" s="55"/>
      <c r="E17" s="56"/>
      <c r="F17" s="57"/>
      <c r="G17" s="83"/>
      <c r="H17" s="87"/>
      <c r="I17" s="55"/>
      <c r="J17" s="57"/>
      <c r="K17" s="57"/>
      <c r="L17" s="57"/>
      <c r="M17" s="57"/>
      <c r="N17" s="91"/>
      <c r="O17" s="79"/>
      <c r="P17" s="58"/>
      <c r="Q17" s="55"/>
      <c r="R17" s="59"/>
      <c r="S17" s="56"/>
      <c r="T17" s="75"/>
    </row>
    <row r="18" spans="1:20" ht="18.75" customHeight="1" x14ac:dyDescent="0.15">
      <c r="A18" s="232"/>
      <c r="B18" s="80" t="s">
        <v>193</v>
      </c>
      <c r="C18" s="60" t="s">
        <v>25</v>
      </c>
      <c r="D18" s="61"/>
      <c r="E18" s="94">
        <v>0.16666666666666666</v>
      </c>
      <c r="F18" s="62" t="s">
        <v>26</v>
      </c>
      <c r="G18" s="84"/>
      <c r="H18" s="88" t="s">
        <v>25</v>
      </c>
      <c r="I18" s="61"/>
      <c r="J18" s="62">
        <f>ROUNDUP(E18*0.75,2)</f>
        <v>0.13</v>
      </c>
      <c r="K18" s="62" t="s">
        <v>26</v>
      </c>
      <c r="L18" s="62"/>
      <c r="M18" s="62">
        <f>ROUNDUP((R5*E18)+(R6*J18)+(R7*(E18*2)),2)</f>
        <v>0</v>
      </c>
      <c r="N18" s="92">
        <f>M18</f>
        <v>0</v>
      </c>
      <c r="O18" s="80" t="s">
        <v>194</v>
      </c>
      <c r="P18" s="63" t="s">
        <v>33</v>
      </c>
      <c r="Q18" s="61"/>
      <c r="R18" s="64">
        <v>1</v>
      </c>
      <c r="S18" s="65">
        <f>ROUNDUP(R18*0.75,2)</f>
        <v>0.75</v>
      </c>
      <c r="T18" s="76">
        <f>ROUNDUP((R5*R18)+(R6*S18)+(R7*(R18*2)),2)</f>
        <v>0</v>
      </c>
    </row>
    <row r="19" spans="1:20" ht="18.75" customHeight="1" x14ac:dyDescent="0.15">
      <c r="A19" s="232"/>
      <c r="B19" s="80"/>
      <c r="C19" s="60" t="s">
        <v>95</v>
      </c>
      <c r="D19" s="61"/>
      <c r="E19" s="65">
        <v>10</v>
      </c>
      <c r="F19" s="62" t="s">
        <v>27</v>
      </c>
      <c r="G19" s="84"/>
      <c r="H19" s="88" t="s">
        <v>95</v>
      </c>
      <c r="I19" s="61"/>
      <c r="J19" s="62">
        <f>ROUNDUP(E19*0.75,2)</f>
        <v>7.5</v>
      </c>
      <c r="K19" s="62" t="s">
        <v>27</v>
      </c>
      <c r="L19" s="62"/>
      <c r="M19" s="62">
        <f>ROUNDUP((R5*E19)+(R6*J19)+(R7*(E19*2)),2)</f>
        <v>0</v>
      </c>
      <c r="N19" s="92">
        <f>M19</f>
        <v>0</v>
      </c>
      <c r="O19" s="80" t="s">
        <v>195</v>
      </c>
      <c r="P19" s="63" t="s">
        <v>42</v>
      </c>
      <c r="Q19" s="61"/>
      <c r="R19" s="64">
        <v>0.1</v>
      </c>
      <c r="S19" s="65">
        <f>ROUNDUP(R19*0.75,2)</f>
        <v>0.08</v>
      </c>
      <c r="T19" s="76">
        <f>ROUNDUP((R5*R19)+(R6*S19)+(R7*(R19*2)),2)</f>
        <v>0</v>
      </c>
    </row>
    <row r="20" spans="1:20" ht="18.75" customHeight="1" x14ac:dyDescent="0.15">
      <c r="A20" s="232"/>
      <c r="B20" s="80"/>
      <c r="C20" s="60" t="s">
        <v>31</v>
      </c>
      <c r="D20" s="61"/>
      <c r="E20" s="65">
        <v>10</v>
      </c>
      <c r="F20" s="62" t="s">
        <v>27</v>
      </c>
      <c r="G20" s="84"/>
      <c r="H20" s="88" t="s">
        <v>31</v>
      </c>
      <c r="I20" s="61"/>
      <c r="J20" s="62">
        <f>ROUNDUP(E20*0.75,2)</f>
        <v>7.5</v>
      </c>
      <c r="K20" s="62" t="s">
        <v>27</v>
      </c>
      <c r="L20" s="62"/>
      <c r="M20" s="62">
        <f>ROUNDUP((R5*E20)+(R6*J20)+(R7*(E20*2)),2)</f>
        <v>0</v>
      </c>
      <c r="N20" s="92">
        <f>ROUND(M20+(M20*10/100),2)</f>
        <v>0</v>
      </c>
      <c r="O20" s="80" t="s">
        <v>44</v>
      </c>
      <c r="P20" s="63" t="s">
        <v>35</v>
      </c>
      <c r="Q20" s="61" t="s">
        <v>36</v>
      </c>
      <c r="R20" s="64">
        <v>0.5</v>
      </c>
      <c r="S20" s="65">
        <f>ROUNDUP(R20*0.75,2)</f>
        <v>0.38</v>
      </c>
      <c r="T20" s="76">
        <f>ROUNDUP((R5*R20)+(R6*S20)+(R7*(R20*2)),2)</f>
        <v>0</v>
      </c>
    </row>
    <row r="21" spans="1:20" ht="18.75" customHeight="1" x14ac:dyDescent="0.15">
      <c r="A21" s="232"/>
      <c r="B21" s="80"/>
      <c r="C21" s="60" t="s">
        <v>100</v>
      </c>
      <c r="D21" s="61"/>
      <c r="E21" s="65">
        <v>5</v>
      </c>
      <c r="F21" s="62" t="s">
        <v>27</v>
      </c>
      <c r="G21" s="84"/>
      <c r="H21" s="88" t="s">
        <v>100</v>
      </c>
      <c r="I21" s="61"/>
      <c r="J21" s="62">
        <f>ROUNDUP(E21*0.75,2)</f>
        <v>3.75</v>
      </c>
      <c r="K21" s="62" t="s">
        <v>27</v>
      </c>
      <c r="L21" s="62"/>
      <c r="M21" s="62">
        <f>ROUNDUP((R5*E21)+(R6*J21)+(R7*(E21*2)),2)</f>
        <v>0</v>
      </c>
      <c r="N21" s="92">
        <f>M21</f>
        <v>0</v>
      </c>
      <c r="O21" s="80"/>
      <c r="P21" s="63" t="s">
        <v>123</v>
      </c>
      <c r="Q21" s="61"/>
      <c r="R21" s="64">
        <v>2</v>
      </c>
      <c r="S21" s="65">
        <f>ROUNDUP(R21*0.75,2)</f>
        <v>1.5</v>
      </c>
      <c r="T21" s="76">
        <f>ROUNDUP((R5*R21)+(R6*S21)+(R7*(R21*2)),2)</f>
        <v>0</v>
      </c>
    </row>
    <row r="22" spans="1:20" ht="18.75" customHeight="1" x14ac:dyDescent="0.15">
      <c r="A22" s="232"/>
      <c r="B22" s="80"/>
      <c r="C22" s="60"/>
      <c r="D22" s="61"/>
      <c r="E22" s="65"/>
      <c r="F22" s="62"/>
      <c r="G22" s="84"/>
      <c r="H22" s="88"/>
      <c r="I22" s="61"/>
      <c r="J22" s="62"/>
      <c r="K22" s="62"/>
      <c r="L22" s="62"/>
      <c r="M22" s="62"/>
      <c r="N22" s="92"/>
      <c r="O22" s="80"/>
      <c r="P22" s="63" t="s">
        <v>64</v>
      </c>
      <c r="Q22" s="61"/>
      <c r="R22" s="64">
        <v>2</v>
      </c>
      <c r="S22" s="65">
        <f>ROUNDUP(R22*0.75,2)</f>
        <v>1.5</v>
      </c>
      <c r="T22" s="76">
        <f>ROUNDUP((R5*R22)+(R6*S22)+(R7*(R22*2)),2)</f>
        <v>0</v>
      </c>
    </row>
    <row r="23" spans="1:20" ht="18.75" customHeight="1" x14ac:dyDescent="0.15">
      <c r="A23" s="232"/>
      <c r="B23" s="79"/>
      <c r="C23" s="54"/>
      <c r="D23" s="55"/>
      <c r="E23" s="56"/>
      <c r="F23" s="57"/>
      <c r="G23" s="83"/>
      <c r="H23" s="87"/>
      <c r="I23" s="55"/>
      <c r="J23" s="57"/>
      <c r="K23" s="57"/>
      <c r="L23" s="57"/>
      <c r="M23" s="57"/>
      <c r="N23" s="91"/>
      <c r="O23" s="79"/>
      <c r="P23" s="58"/>
      <c r="Q23" s="55"/>
      <c r="R23" s="59"/>
      <c r="S23" s="56"/>
      <c r="T23" s="75"/>
    </row>
    <row r="24" spans="1:20" ht="18.75" customHeight="1" x14ac:dyDescent="0.15">
      <c r="A24" s="232"/>
      <c r="B24" s="80" t="s">
        <v>197</v>
      </c>
      <c r="C24" s="60" t="s">
        <v>198</v>
      </c>
      <c r="D24" s="61"/>
      <c r="E24" s="65">
        <v>25</v>
      </c>
      <c r="F24" s="62" t="s">
        <v>27</v>
      </c>
      <c r="G24" s="84"/>
      <c r="H24" s="88" t="s">
        <v>198</v>
      </c>
      <c r="I24" s="61"/>
      <c r="J24" s="62">
        <f>ROUNDUP(E24*0.75,2)</f>
        <v>18.75</v>
      </c>
      <c r="K24" s="62" t="s">
        <v>27</v>
      </c>
      <c r="L24" s="62"/>
      <c r="M24" s="62">
        <f>ROUNDUP((R5*E24)+(R6*J24)+(R7*(E24*2)),2)</f>
        <v>0</v>
      </c>
      <c r="N24" s="92">
        <f>M24</f>
        <v>0</v>
      </c>
      <c r="O24" s="80"/>
      <c r="P24" s="63"/>
      <c r="Q24" s="61"/>
      <c r="R24" s="64"/>
      <c r="S24" s="65"/>
      <c r="T24" s="76"/>
    </row>
    <row r="25" spans="1:20" ht="18.75" customHeight="1" thickBot="1" x14ac:dyDescent="0.2">
      <c r="A25" s="233"/>
      <c r="B25" s="81"/>
      <c r="C25" s="67"/>
      <c r="D25" s="68"/>
      <c r="E25" s="69"/>
      <c r="F25" s="70"/>
      <c r="G25" s="85"/>
      <c r="H25" s="89"/>
      <c r="I25" s="68"/>
      <c r="J25" s="70"/>
      <c r="K25" s="70"/>
      <c r="L25" s="70"/>
      <c r="M25" s="70"/>
      <c r="N25" s="93"/>
      <c r="O25" s="81"/>
      <c r="P25" s="71"/>
      <c r="Q25" s="68"/>
      <c r="R25" s="72"/>
      <c r="S25" s="69"/>
      <c r="T25" s="77"/>
    </row>
  </sheetData>
  <mergeCells count="5">
    <mergeCell ref="H1:O1"/>
    <mergeCell ref="A2:T2"/>
    <mergeCell ref="Q3:T3"/>
    <mergeCell ref="A8:F8"/>
    <mergeCell ref="A10:A25"/>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33617-F88D-43EE-8EAB-C8E15F5E9082}">
  <sheetPr>
    <pageSetUpPr fitToPage="1"/>
  </sheetPr>
  <dimension ref="A1:U56"/>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261</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393</v>
      </c>
      <c r="C13" s="120" t="s">
        <v>93</v>
      </c>
      <c r="D13" s="120"/>
      <c r="E13" s="61"/>
      <c r="F13" s="61"/>
      <c r="G13" s="120"/>
      <c r="H13" s="119">
        <v>15</v>
      </c>
      <c r="I13" s="120" t="s">
        <v>394</v>
      </c>
      <c r="J13" s="127" t="s">
        <v>156</v>
      </c>
      <c r="K13" s="119">
        <v>10</v>
      </c>
      <c r="L13" s="120" t="s">
        <v>395</v>
      </c>
      <c r="M13" s="120" t="s">
        <v>30</v>
      </c>
      <c r="N13" s="119">
        <v>20</v>
      </c>
      <c r="O13" s="118"/>
    </row>
    <row r="14" spans="1:21" ht="14.25" x14ac:dyDescent="0.15">
      <c r="A14" s="255"/>
      <c r="B14" s="120"/>
      <c r="C14" s="120" t="s">
        <v>30</v>
      </c>
      <c r="D14" s="120"/>
      <c r="E14" s="61"/>
      <c r="F14" s="61"/>
      <c r="G14" s="120"/>
      <c r="H14" s="119">
        <v>30</v>
      </c>
      <c r="I14" s="120"/>
      <c r="J14" s="120" t="s">
        <v>30</v>
      </c>
      <c r="K14" s="119">
        <v>20</v>
      </c>
      <c r="L14" s="120"/>
      <c r="M14" s="120" t="s">
        <v>191</v>
      </c>
      <c r="N14" s="119">
        <v>10</v>
      </c>
      <c r="O14" s="118"/>
    </row>
    <row r="15" spans="1:21" ht="14.25" x14ac:dyDescent="0.15">
      <c r="A15" s="255"/>
      <c r="B15" s="120"/>
      <c r="C15" s="120" t="s">
        <v>191</v>
      </c>
      <c r="D15" s="120"/>
      <c r="E15" s="61"/>
      <c r="F15" s="61"/>
      <c r="G15" s="120"/>
      <c r="H15" s="119">
        <v>20</v>
      </c>
      <c r="I15" s="120"/>
      <c r="J15" s="120" t="s">
        <v>191</v>
      </c>
      <c r="K15" s="119">
        <v>15</v>
      </c>
      <c r="L15" s="123"/>
      <c r="M15" s="123"/>
      <c r="N15" s="122"/>
      <c r="O15" s="126"/>
    </row>
    <row r="16" spans="1:21" ht="14.25" x14ac:dyDescent="0.15">
      <c r="A16" s="255"/>
      <c r="B16" s="120"/>
      <c r="C16" s="120"/>
      <c r="D16" s="120"/>
      <c r="E16" s="61"/>
      <c r="F16" s="61"/>
      <c r="G16" s="120" t="s">
        <v>53</v>
      </c>
      <c r="H16" s="119" t="s">
        <v>439</v>
      </c>
      <c r="I16" s="120"/>
      <c r="J16" s="120"/>
      <c r="K16" s="119"/>
      <c r="L16" s="120" t="s">
        <v>397</v>
      </c>
      <c r="M16" s="120" t="s">
        <v>25</v>
      </c>
      <c r="N16" s="125">
        <v>0.1</v>
      </c>
      <c r="O16" s="118"/>
    </row>
    <row r="17" spans="1:15" ht="14.25" x14ac:dyDescent="0.15">
      <c r="A17" s="255"/>
      <c r="B17" s="120"/>
      <c r="C17" s="120"/>
      <c r="D17" s="120"/>
      <c r="E17" s="61"/>
      <c r="F17" s="61"/>
      <c r="G17" s="120" t="s">
        <v>42</v>
      </c>
      <c r="H17" s="119" t="s">
        <v>438</v>
      </c>
      <c r="I17" s="120"/>
      <c r="J17" s="120"/>
      <c r="K17" s="119"/>
      <c r="L17" s="120"/>
      <c r="M17" s="120" t="s">
        <v>31</v>
      </c>
      <c r="N17" s="119">
        <v>10</v>
      </c>
      <c r="O17" s="118"/>
    </row>
    <row r="18" spans="1:15" ht="14.25" x14ac:dyDescent="0.15">
      <c r="A18" s="255"/>
      <c r="B18" s="123"/>
      <c r="C18" s="123"/>
      <c r="D18" s="123"/>
      <c r="E18" s="55"/>
      <c r="F18" s="55"/>
      <c r="G18" s="123"/>
      <c r="H18" s="122"/>
      <c r="I18" s="123"/>
      <c r="J18" s="123"/>
      <c r="K18" s="122"/>
      <c r="L18" s="120"/>
      <c r="M18" s="120" t="s">
        <v>100</v>
      </c>
      <c r="N18" s="119">
        <v>5</v>
      </c>
      <c r="O18" s="118"/>
    </row>
    <row r="19" spans="1:15" ht="14.25" x14ac:dyDescent="0.15">
      <c r="A19" s="255"/>
      <c r="B19" s="120" t="s">
        <v>396</v>
      </c>
      <c r="C19" s="120" t="s">
        <v>25</v>
      </c>
      <c r="D19" s="120"/>
      <c r="E19" s="61"/>
      <c r="F19" s="61"/>
      <c r="G19" s="120"/>
      <c r="H19" s="125">
        <v>0.1</v>
      </c>
      <c r="I19" s="120" t="s">
        <v>396</v>
      </c>
      <c r="J19" s="120" t="s">
        <v>25</v>
      </c>
      <c r="K19" s="125">
        <v>0.1</v>
      </c>
      <c r="L19" s="120"/>
      <c r="M19" s="120"/>
      <c r="N19" s="119"/>
      <c r="O19" s="118"/>
    </row>
    <row r="20" spans="1:15" ht="14.25" x14ac:dyDescent="0.15">
      <c r="A20" s="255"/>
      <c r="B20" s="120"/>
      <c r="C20" s="120" t="s">
        <v>31</v>
      </c>
      <c r="D20" s="120"/>
      <c r="E20" s="61"/>
      <c r="F20" s="61"/>
      <c r="G20" s="120"/>
      <c r="H20" s="119">
        <v>10</v>
      </c>
      <c r="I20" s="120"/>
      <c r="J20" s="120" t="s">
        <v>31</v>
      </c>
      <c r="K20" s="119">
        <v>10</v>
      </c>
      <c r="L20" s="120"/>
      <c r="M20" s="120"/>
      <c r="N20" s="119"/>
      <c r="O20" s="118"/>
    </row>
    <row r="21" spans="1:15" ht="14.25" x14ac:dyDescent="0.15">
      <c r="A21" s="255"/>
      <c r="B21" s="120"/>
      <c r="C21" s="120" t="s">
        <v>100</v>
      </c>
      <c r="D21" s="120"/>
      <c r="E21" s="61"/>
      <c r="F21" s="61"/>
      <c r="G21" s="120"/>
      <c r="H21" s="119">
        <v>5</v>
      </c>
      <c r="I21" s="120"/>
      <c r="J21" s="120" t="s">
        <v>100</v>
      </c>
      <c r="K21" s="119">
        <v>5</v>
      </c>
      <c r="L21" s="120"/>
      <c r="M21" s="120"/>
      <c r="N21" s="119"/>
      <c r="O21" s="118"/>
    </row>
    <row r="22" spans="1:15" ht="15" thickBot="1" x14ac:dyDescent="0.2">
      <c r="A22" s="256"/>
      <c r="B22" s="117"/>
      <c r="C22" s="117"/>
      <c r="D22" s="117"/>
      <c r="E22" s="68"/>
      <c r="F22" s="68"/>
      <c r="G22" s="117"/>
      <c r="H22" s="116"/>
      <c r="I22" s="117"/>
      <c r="J22" s="117"/>
      <c r="K22" s="116"/>
      <c r="L22" s="117"/>
      <c r="M22" s="117"/>
      <c r="N22" s="116"/>
      <c r="O22" s="115"/>
    </row>
    <row r="23" spans="1:15" ht="14.25" x14ac:dyDescent="0.15">
      <c r="B23" s="114"/>
      <c r="C23" s="114"/>
      <c r="D23" s="114"/>
      <c r="G23" s="114"/>
      <c r="H23" s="113"/>
      <c r="I23" s="114"/>
      <c r="J23" s="114"/>
      <c r="K23" s="113"/>
      <c r="L23" s="114"/>
      <c r="M23" s="114"/>
      <c r="N23" s="113"/>
    </row>
    <row r="24" spans="1:15" ht="14.25" x14ac:dyDescent="0.15">
      <c r="B24" s="114"/>
      <c r="C24" s="114"/>
      <c r="D24" s="114"/>
      <c r="G24" s="114"/>
      <c r="H24" s="113"/>
      <c r="I24" s="114"/>
      <c r="J24" s="114"/>
      <c r="K24" s="113"/>
      <c r="L24" s="114"/>
      <c r="M24" s="114"/>
      <c r="N24" s="113"/>
    </row>
    <row r="25" spans="1:15" ht="14.25" x14ac:dyDescent="0.15">
      <c r="B25" s="114"/>
      <c r="C25" s="114"/>
      <c r="D25" s="114"/>
      <c r="G25" s="114"/>
      <c r="H25" s="113"/>
      <c r="I25" s="114"/>
      <c r="J25" s="114"/>
      <c r="K25" s="113"/>
      <c r="L25" s="114"/>
      <c r="M25" s="114"/>
      <c r="N25" s="113"/>
    </row>
    <row r="26" spans="1:15" ht="14.25" x14ac:dyDescent="0.15">
      <c r="B26" s="114"/>
      <c r="C26" s="114"/>
      <c r="D26" s="114"/>
      <c r="G26" s="114"/>
      <c r="H26" s="113"/>
      <c r="I26" s="114"/>
      <c r="J26" s="114"/>
      <c r="K26" s="113"/>
      <c r="L26" s="114"/>
      <c r="M26" s="114"/>
      <c r="N26" s="113"/>
    </row>
    <row r="27" spans="1:15" ht="14.25" x14ac:dyDescent="0.15">
      <c r="B27" s="114"/>
      <c r="C27" s="114"/>
      <c r="D27" s="114"/>
      <c r="G27" s="114"/>
      <c r="H27" s="113"/>
      <c r="I27" s="114"/>
      <c r="J27" s="114"/>
      <c r="K27" s="113"/>
      <c r="L27" s="114"/>
      <c r="M27" s="114"/>
      <c r="N27" s="113"/>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sheetData>
  <mergeCells count="15">
    <mergeCell ref="L8:N8"/>
    <mergeCell ref="O8:O10"/>
    <mergeCell ref="I9:K9"/>
    <mergeCell ref="L9:N9"/>
    <mergeCell ref="A11:A22"/>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B24"/>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262</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23</v>
      </c>
      <c r="C10" s="48"/>
      <c r="D10" s="49"/>
      <c r="E10" s="50"/>
      <c r="F10" s="51"/>
      <c r="G10" s="82"/>
      <c r="H10" s="86"/>
      <c r="I10" s="49"/>
      <c r="J10" s="51"/>
      <c r="K10" s="51"/>
      <c r="L10" s="51"/>
      <c r="M10" s="51"/>
      <c r="N10" s="90"/>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205</v>
      </c>
      <c r="C12" s="60" t="s">
        <v>85</v>
      </c>
      <c r="D12" s="61"/>
      <c r="E12" s="65">
        <v>40</v>
      </c>
      <c r="F12" s="62" t="s">
        <v>27</v>
      </c>
      <c r="G12" s="84"/>
      <c r="H12" s="88" t="s">
        <v>85</v>
      </c>
      <c r="I12" s="61"/>
      <c r="J12" s="62">
        <f>ROUNDUP(E12*0.75,2)</f>
        <v>30</v>
      </c>
      <c r="K12" s="62" t="s">
        <v>27</v>
      </c>
      <c r="L12" s="62"/>
      <c r="M12" s="62">
        <f>ROUNDUP((R5*E12)+(R6*J12)+(R7*(E12*2)),2)</f>
        <v>0</v>
      </c>
      <c r="N12" s="92">
        <f>M12</f>
        <v>0</v>
      </c>
      <c r="O12" s="80" t="s">
        <v>206</v>
      </c>
      <c r="P12" s="63" t="s">
        <v>33</v>
      </c>
      <c r="Q12" s="61"/>
      <c r="R12" s="64">
        <v>0.5</v>
      </c>
      <c r="S12" s="65">
        <f>ROUNDUP(R12*0.75,2)</f>
        <v>0.38</v>
      </c>
      <c r="T12" s="76">
        <f>ROUNDUP((R5*R12)+(R6*S12)+(R7*(R12*2)),2)</f>
        <v>0</v>
      </c>
    </row>
    <row r="13" spans="1:21" ht="18.75" customHeight="1" x14ac:dyDescent="0.15">
      <c r="A13" s="232"/>
      <c r="B13" s="80"/>
      <c r="C13" s="60" t="s">
        <v>30</v>
      </c>
      <c r="D13" s="61"/>
      <c r="E13" s="65">
        <v>20</v>
      </c>
      <c r="F13" s="62" t="s">
        <v>27</v>
      </c>
      <c r="G13" s="84"/>
      <c r="H13" s="88" t="s">
        <v>30</v>
      </c>
      <c r="I13" s="61"/>
      <c r="J13" s="62">
        <f>ROUNDUP(E13*0.75,2)</f>
        <v>15</v>
      </c>
      <c r="K13" s="62" t="s">
        <v>27</v>
      </c>
      <c r="L13" s="62"/>
      <c r="M13" s="62">
        <f>ROUNDUP((R5*E13)+(R6*J13)+(R7*(E13*2)),2)</f>
        <v>0</v>
      </c>
      <c r="N13" s="92">
        <f>ROUND(M13+(M13*6/100),2)</f>
        <v>0</v>
      </c>
      <c r="O13" s="80" t="s">
        <v>207</v>
      </c>
      <c r="P13" s="63" t="s">
        <v>35</v>
      </c>
      <c r="Q13" s="61" t="s">
        <v>36</v>
      </c>
      <c r="R13" s="64">
        <v>1.5</v>
      </c>
      <c r="S13" s="65">
        <f>ROUNDUP(R13*0.75,2)</f>
        <v>1.1300000000000001</v>
      </c>
      <c r="T13" s="76">
        <f>ROUNDUP((R5*R13)+(R6*S13)+(R7*(R13*2)),2)</f>
        <v>0</v>
      </c>
    </row>
    <row r="14" spans="1:21" ht="18.75" customHeight="1" x14ac:dyDescent="0.15">
      <c r="A14" s="232"/>
      <c r="B14" s="80"/>
      <c r="C14" s="60" t="s">
        <v>114</v>
      </c>
      <c r="D14" s="61"/>
      <c r="E14" s="65">
        <v>20</v>
      </c>
      <c r="F14" s="62" t="s">
        <v>27</v>
      </c>
      <c r="G14" s="84"/>
      <c r="H14" s="88" t="s">
        <v>114</v>
      </c>
      <c r="I14" s="61"/>
      <c r="J14" s="62">
        <f>ROUNDUP(E14*0.75,2)</f>
        <v>15</v>
      </c>
      <c r="K14" s="62" t="s">
        <v>27</v>
      </c>
      <c r="L14" s="62"/>
      <c r="M14" s="62">
        <f>ROUNDUP((R5*E14)+(R6*J14)+(R7*(E14*2)),2)</f>
        <v>0</v>
      </c>
      <c r="N14" s="92">
        <f>M14</f>
        <v>0</v>
      </c>
      <c r="O14" s="80" t="s">
        <v>44</v>
      </c>
      <c r="P14" s="63" t="s">
        <v>34</v>
      </c>
      <c r="Q14" s="61"/>
      <c r="R14" s="64">
        <v>1</v>
      </c>
      <c r="S14" s="65">
        <f>ROUNDUP(R14*0.75,2)</f>
        <v>0.75</v>
      </c>
      <c r="T14" s="76">
        <f>ROUNDUP((R5*R14)+(R6*S14)+(R7*(R14*2)),2)</f>
        <v>0</v>
      </c>
    </row>
    <row r="15" spans="1:21" ht="18.75" customHeight="1" x14ac:dyDescent="0.15">
      <c r="A15" s="232"/>
      <c r="B15" s="80"/>
      <c r="C15" s="60" t="s">
        <v>172</v>
      </c>
      <c r="D15" s="61"/>
      <c r="E15" s="65">
        <v>5</v>
      </c>
      <c r="F15" s="62" t="s">
        <v>27</v>
      </c>
      <c r="G15" s="84"/>
      <c r="H15" s="88" t="s">
        <v>172</v>
      </c>
      <c r="I15" s="61"/>
      <c r="J15" s="62">
        <f>ROUNDUP(E15*0.75,2)</f>
        <v>3.75</v>
      </c>
      <c r="K15" s="62" t="s">
        <v>27</v>
      </c>
      <c r="L15" s="62"/>
      <c r="M15" s="62">
        <f>ROUNDUP((R5*E15)+(R6*J15)+(R7*(E15*2)),2)</f>
        <v>0</v>
      </c>
      <c r="N15" s="92">
        <f>ROUND(M15+(M15*10/100),2)</f>
        <v>0</v>
      </c>
      <c r="O15" s="80"/>
      <c r="P15" s="63" t="s">
        <v>65</v>
      </c>
      <c r="Q15" s="61"/>
      <c r="R15" s="64">
        <v>1</v>
      </c>
      <c r="S15" s="65">
        <f>ROUNDUP(R15*0.75,2)</f>
        <v>0.75</v>
      </c>
      <c r="T15" s="76">
        <f>ROUNDUP((R5*R15)+(R6*S15)+(R7*(R15*2)),2)</f>
        <v>0</v>
      </c>
    </row>
    <row r="16" spans="1:21" ht="18.75" customHeight="1" x14ac:dyDescent="0.15">
      <c r="A16" s="232"/>
      <c r="B16" s="80"/>
      <c r="C16" s="60"/>
      <c r="D16" s="61"/>
      <c r="E16" s="65"/>
      <c r="F16" s="62"/>
      <c r="G16" s="84"/>
      <c r="H16" s="88"/>
      <c r="I16" s="61"/>
      <c r="J16" s="62"/>
      <c r="K16" s="62"/>
      <c r="L16" s="62"/>
      <c r="M16" s="62"/>
      <c r="N16" s="92"/>
      <c r="O16" s="80"/>
      <c r="P16" s="63" t="s">
        <v>28</v>
      </c>
      <c r="Q16" s="61"/>
      <c r="R16" s="64">
        <v>2</v>
      </c>
      <c r="S16" s="65">
        <f>ROUNDUP(R16*0.75,2)</f>
        <v>1.5</v>
      </c>
      <c r="T16" s="76">
        <f>ROUNDUP((R5*R16)+(R6*S16)+(R7*(R16*2)),2)</f>
        <v>0</v>
      </c>
    </row>
    <row r="17" spans="1:20" ht="18.75" customHeight="1" x14ac:dyDescent="0.15">
      <c r="A17" s="232"/>
      <c r="B17" s="79"/>
      <c r="C17" s="54"/>
      <c r="D17" s="55"/>
      <c r="E17" s="56"/>
      <c r="F17" s="57"/>
      <c r="G17" s="83"/>
      <c r="H17" s="87"/>
      <c r="I17" s="55"/>
      <c r="J17" s="57"/>
      <c r="K17" s="57"/>
      <c r="L17" s="57"/>
      <c r="M17" s="57"/>
      <c r="N17" s="91"/>
      <c r="O17" s="79"/>
      <c r="P17" s="58"/>
      <c r="Q17" s="55"/>
      <c r="R17" s="59"/>
      <c r="S17" s="56"/>
      <c r="T17" s="75"/>
    </row>
    <row r="18" spans="1:20" ht="18.75" customHeight="1" x14ac:dyDescent="0.15">
      <c r="A18" s="232"/>
      <c r="B18" s="80" t="s">
        <v>209</v>
      </c>
      <c r="C18" s="60" t="s">
        <v>94</v>
      </c>
      <c r="D18" s="61"/>
      <c r="E18" s="65">
        <v>50</v>
      </c>
      <c r="F18" s="62" t="s">
        <v>27</v>
      </c>
      <c r="G18" s="84"/>
      <c r="H18" s="88" t="s">
        <v>94</v>
      </c>
      <c r="I18" s="61"/>
      <c r="J18" s="62">
        <f>ROUNDUP(E18*0.75,2)</f>
        <v>37.5</v>
      </c>
      <c r="K18" s="62" t="s">
        <v>27</v>
      </c>
      <c r="L18" s="62"/>
      <c r="M18" s="62">
        <f>ROUNDUP((R5*E18)+(R6*J18)+(R7*(E18*2)),2)</f>
        <v>0</v>
      </c>
      <c r="N18" s="92">
        <f>ROUND(M18+(M18*10/100),2)</f>
        <v>0</v>
      </c>
      <c r="O18" s="80" t="s">
        <v>210</v>
      </c>
      <c r="P18" s="63" t="s">
        <v>34</v>
      </c>
      <c r="Q18" s="61"/>
      <c r="R18" s="64">
        <v>2</v>
      </c>
      <c r="S18" s="65">
        <f>ROUNDUP(R18*0.75,2)</f>
        <v>1.5</v>
      </c>
      <c r="T18" s="76">
        <f>ROUNDUP((R5*R18)+(R6*S18)+(R7*(R18*2)),2)</f>
        <v>0</v>
      </c>
    </row>
    <row r="19" spans="1:20" ht="18.75" customHeight="1" x14ac:dyDescent="0.15">
      <c r="A19" s="232"/>
      <c r="B19" s="80"/>
      <c r="C19" s="60"/>
      <c r="D19" s="61"/>
      <c r="E19" s="65"/>
      <c r="F19" s="62"/>
      <c r="G19" s="84"/>
      <c r="H19" s="88"/>
      <c r="I19" s="61"/>
      <c r="J19" s="62"/>
      <c r="K19" s="62"/>
      <c r="L19" s="62"/>
      <c r="M19" s="62"/>
      <c r="N19" s="92"/>
      <c r="O19" s="80" t="s">
        <v>211</v>
      </c>
      <c r="P19" s="63" t="s">
        <v>35</v>
      </c>
      <c r="Q19" s="61" t="s">
        <v>36</v>
      </c>
      <c r="R19" s="64">
        <v>0.5</v>
      </c>
      <c r="S19" s="65">
        <f>ROUNDUP(R19*0.75,2)</f>
        <v>0.38</v>
      </c>
      <c r="T19" s="76">
        <f>ROUNDUP((R5*R19)+(R6*S19)+(R7*(R19*2)),2)</f>
        <v>0</v>
      </c>
    </row>
    <row r="20" spans="1:20" ht="18.75" customHeight="1" x14ac:dyDescent="0.15">
      <c r="A20" s="232"/>
      <c r="B20" s="80"/>
      <c r="C20" s="60"/>
      <c r="D20" s="61"/>
      <c r="E20" s="65"/>
      <c r="F20" s="62"/>
      <c r="G20" s="84"/>
      <c r="H20" s="88"/>
      <c r="I20" s="61"/>
      <c r="J20" s="62"/>
      <c r="K20" s="62"/>
      <c r="L20" s="62"/>
      <c r="M20" s="62"/>
      <c r="N20" s="92"/>
      <c r="O20" s="80" t="s">
        <v>24</v>
      </c>
      <c r="P20" s="63" t="s">
        <v>32</v>
      </c>
      <c r="Q20" s="61"/>
      <c r="R20" s="64">
        <v>30</v>
      </c>
      <c r="S20" s="65">
        <f>ROUNDUP(R20*0.75,2)</f>
        <v>22.5</v>
      </c>
      <c r="T20" s="76">
        <f>ROUNDUP((R5*R20)+(R6*S20)+(R7*(R20*2)),2)</f>
        <v>0</v>
      </c>
    </row>
    <row r="21" spans="1:20" ht="18.75" customHeight="1" x14ac:dyDescent="0.15">
      <c r="A21" s="232"/>
      <c r="B21" s="79"/>
      <c r="C21" s="54"/>
      <c r="D21" s="55"/>
      <c r="E21" s="56"/>
      <c r="F21" s="57"/>
      <c r="G21" s="83"/>
      <c r="H21" s="87"/>
      <c r="I21" s="55"/>
      <c r="J21" s="57"/>
      <c r="K21" s="57"/>
      <c r="L21" s="57"/>
      <c r="M21" s="57"/>
      <c r="N21" s="91"/>
      <c r="O21" s="79"/>
      <c r="P21" s="58"/>
      <c r="Q21" s="55"/>
      <c r="R21" s="59"/>
      <c r="S21" s="56"/>
      <c r="T21" s="75"/>
    </row>
    <row r="22" spans="1:20" ht="18.75" customHeight="1" x14ac:dyDescent="0.15">
      <c r="A22" s="232"/>
      <c r="B22" s="80" t="s">
        <v>43</v>
      </c>
      <c r="C22" s="60" t="s">
        <v>87</v>
      </c>
      <c r="D22" s="61"/>
      <c r="E22" s="65">
        <v>5</v>
      </c>
      <c r="F22" s="62" t="s">
        <v>27</v>
      </c>
      <c r="G22" s="84"/>
      <c r="H22" s="88" t="s">
        <v>87</v>
      </c>
      <c r="I22" s="61"/>
      <c r="J22" s="62">
        <f>ROUNDUP(E22*0.75,2)</f>
        <v>3.75</v>
      </c>
      <c r="K22" s="62" t="s">
        <v>27</v>
      </c>
      <c r="L22" s="62"/>
      <c r="M22" s="62">
        <f>ROUNDUP((R5*E22)+(R6*J22)+(R7*(E22*2)),2)</f>
        <v>0</v>
      </c>
      <c r="N22" s="92">
        <f>M22</f>
        <v>0</v>
      </c>
      <c r="O22" s="80" t="s">
        <v>24</v>
      </c>
      <c r="P22" s="63" t="s">
        <v>32</v>
      </c>
      <c r="Q22" s="61"/>
      <c r="R22" s="64">
        <v>100</v>
      </c>
      <c r="S22" s="65">
        <f>ROUNDUP(R22*0.75,2)</f>
        <v>75</v>
      </c>
      <c r="T22" s="76">
        <f>ROUNDUP((R5*R22)+(R6*S22)+(R7*(R22*2)),2)</f>
        <v>0</v>
      </c>
    </row>
    <row r="23" spans="1:20" ht="18.75" customHeight="1" x14ac:dyDescent="0.15">
      <c r="A23" s="232"/>
      <c r="B23" s="80"/>
      <c r="C23" s="60" t="s">
        <v>69</v>
      </c>
      <c r="D23" s="61"/>
      <c r="E23" s="65">
        <v>0.5</v>
      </c>
      <c r="F23" s="62" t="s">
        <v>27</v>
      </c>
      <c r="G23" s="84"/>
      <c r="H23" s="88" t="s">
        <v>69</v>
      </c>
      <c r="I23" s="61"/>
      <c r="J23" s="62">
        <f>ROUNDUP(E23*0.75,2)</f>
        <v>0.38</v>
      </c>
      <c r="K23" s="62" t="s">
        <v>27</v>
      </c>
      <c r="L23" s="62"/>
      <c r="M23" s="62">
        <f>ROUNDUP((R5*E23)+(R6*J23)+(R7*(E23*2)),2)</f>
        <v>0</v>
      </c>
      <c r="N23" s="92">
        <f>M23</f>
        <v>0</v>
      </c>
      <c r="O23" s="80"/>
      <c r="P23" s="63" t="s">
        <v>46</v>
      </c>
      <c r="Q23" s="61"/>
      <c r="R23" s="64">
        <v>3</v>
      </c>
      <c r="S23" s="65">
        <f>ROUNDUP(R23*0.75,2)</f>
        <v>2.25</v>
      </c>
      <c r="T23" s="76">
        <f>ROUNDUP((R5*R23)+(R6*S23)+(R7*(R23*2)),2)</f>
        <v>0</v>
      </c>
    </row>
    <row r="24" spans="1:20" ht="18.75" customHeight="1" thickBot="1" x14ac:dyDescent="0.2">
      <c r="A24" s="233"/>
      <c r="B24" s="81"/>
      <c r="C24" s="67"/>
      <c r="D24" s="68"/>
      <c r="E24" s="69"/>
      <c r="F24" s="70"/>
      <c r="G24" s="85"/>
      <c r="H24" s="89"/>
      <c r="I24" s="68"/>
      <c r="J24" s="70"/>
      <c r="K24" s="70"/>
      <c r="L24" s="70"/>
      <c r="M24" s="70"/>
      <c r="N24" s="93"/>
      <c r="O24" s="81"/>
      <c r="P24" s="71"/>
      <c r="Q24" s="68"/>
      <c r="R24" s="72"/>
      <c r="S24" s="69"/>
      <c r="T24" s="77"/>
    </row>
  </sheetData>
  <mergeCells count="5">
    <mergeCell ref="H1:O1"/>
    <mergeCell ref="A2:T2"/>
    <mergeCell ref="Q3:T3"/>
    <mergeCell ref="A8:F8"/>
    <mergeCell ref="A10:A24"/>
  </mergeCells>
  <phoneticPr fontId="20"/>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67DEA-B5B3-4DFC-9448-BA9BC44E08AD}">
  <sheetPr>
    <pageSetUpPr fitToPage="1"/>
  </sheetPr>
  <dimension ref="A1:U55"/>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262</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400</v>
      </c>
      <c r="C13" s="120" t="s">
        <v>85</v>
      </c>
      <c r="D13" s="120"/>
      <c r="E13" s="61"/>
      <c r="F13" s="61"/>
      <c r="G13" s="120"/>
      <c r="H13" s="119">
        <v>20</v>
      </c>
      <c r="I13" s="120" t="s">
        <v>400</v>
      </c>
      <c r="J13" s="127" t="s">
        <v>156</v>
      </c>
      <c r="K13" s="119">
        <v>15</v>
      </c>
      <c r="L13" s="120" t="s">
        <v>401</v>
      </c>
      <c r="M13" s="120" t="s">
        <v>30</v>
      </c>
      <c r="N13" s="119">
        <v>10</v>
      </c>
      <c r="O13" s="118"/>
    </row>
    <row r="14" spans="1:21" ht="14.25" x14ac:dyDescent="0.15">
      <c r="A14" s="255"/>
      <c r="B14" s="120"/>
      <c r="C14" s="120" t="s">
        <v>30</v>
      </c>
      <c r="D14" s="120"/>
      <c r="E14" s="61"/>
      <c r="F14" s="61"/>
      <c r="G14" s="120"/>
      <c r="H14" s="119">
        <v>10</v>
      </c>
      <c r="I14" s="120"/>
      <c r="J14" s="120" t="s">
        <v>30</v>
      </c>
      <c r="K14" s="119">
        <v>10</v>
      </c>
      <c r="L14" s="120"/>
      <c r="M14" s="120" t="s">
        <v>114</v>
      </c>
      <c r="N14" s="119">
        <v>5</v>
      </c>
      <c r="O14" s="118"/>
    </row>
    <row r="15" spans="1:21" ht="14.25" x14ac:dyDescent="0.15">
      <c r="A15" s="255"/>
      <c r="B15" s="120"/>
      <c r="C15" s="120" t="s">
        <v>114</v>
      </c>
      <c r="D15" s="120"/>
      <c r="E15" s="61"/>
      <c r="F15" s="61"/>
      <c r="G15" s="120"/>
      <c r="H15" s="119">
        <v>10</v>
      </c>
      <c r="I15" s="120"/>
      <c r="J15" s="120" t="s">
        <v>114</v>
      </c>
      <c r="K15" s="119">
        <v>5</v>
      </c>
      <c r="L15" s="123"/>
      <c r="M15" s="123"/>
      <c r="N15" s="122"/>
      <c r="O15" s="126"/>
    </row>
    <row r="16" spans="1:21" ht="14.25" x14ac:dyDescent="0.15">
      <c r="A16" s="255"/>
      <c r="B16" s="120"/>
      <c r="C16" s="120" t="s">
        <v>172</v>
      </c>
      <c r="D16" s="120"/>
      <c r="E16" s="61"/>
      <c r="F16" s="61"/>
      <c r="G16" s="120"/>
      <c r="H16" s="119">
        <v>5</v>
      </c>
      <c r="I16" s="120"/>
      <c r="J16" s="120" t="s">
        <v>172</v>
      </c>
      <c r="K16" s="119">
        <v>5</v>
      </c>
      <c r="L16" s="120" t="s">
        <v>404</v>
      </c>
      <c r="M16" s="120" t="s">
        <v>94</v>
      </c>
      <c r="N16" s="119">
        <v>20</v>
      </c>
      <c r="O16" s="118"/>
    </row>
    <row r="17" spans="1:15" ht="14.25" x14ac:dyDescent="0.15">
      <c r="A17" s="255"/>
      <c r="B17" s="120"/>
      <c r="C17" s="120"/>
      <c r="D17" s="120"/>
      <c r="E17" s="61"/>
      <c r="F17" s="61"/>
      <c r="G17" s="120" t="s">
        <v>32</v>
      </c>
      <c r="H17" s="119" t="s">
        <v>439</v>
      </c>
      <c r="I17" s="120"/>
      <c r="J17" s="120"/>
      <c r="K17" s="119"/>
      <c r="L17" s="120"/>
      <c r="M17" s="120"/>
      <c r="N17" s="119"/>
      <c r="O17" s="118"/>
    </row>
    <row r="18" spans="1:15" ht="14.25" x14ac:dyDescent="0.15">
      <c r="A18" s="255"/>
      <c r="B18" s="120"/>
      <c r="C18" s="120"/>
      <c r="D18" s="120"/>
      <c r="E18" s="61"/>
      <c r="F18" s="61"/>
      <c r="G18" s="120" t="s">
        <v>33</v>
      </c>
      <c r="H18" s="119" t="s">
        <v>438</v>
      </c>
      <c r="I18" s="120"/>
      <c r="J18" s="120"/>
      <c r="K18" s="119"/>
      <c r="L18" s="120"/>
      <c r="M18" s="120"/>
      <c r="N18" s="119"/>
      <c r="O18" s="118"/>
    </row>
    <row r="19" spans="1:15" ht="14.25" x14ac:dyDescent="0.15">
      <c r="A19" s="255"/>
      <c r="B19" s="120"/>
      <c r="C19" s="120"/>
      <c r="D19" s="120"/>
      <c r="E19" s="61"/>
      <c r="F19" s="61" t="s">
        <v>36</v>
      </c>
      <c r="G19" s="120" t="s">
        <v>35</v>
      </c>
      <c r="H19" s="119" t="s">
        <v>438</v>
      </c>
      <c r="I19" s="120"/>
      <c r="J19" s="120"/>
      <c r="K19" s="119"/>
      <c r="L19" s="120"/>
      <c r="M19" s="120"/>
      <c r="N19" s="119"/>
      <c r="O19" s="118"/>
    </row>
    <row r="20" spans="1:15" ht="14.25" x14ac:dyDescent="0.15">
      <c r="A20" s="255"/>
      <c r="B20" s="123"/>
      <c r="C20" s="123"/>
      <c r="D20" s="123"/>
      <c r="E20" s="55"/>
      <c r="F20" s="55"/>
      <c r="G20" s="123"/>
      <c r="H20" s="122"/>
      <c r="I20" s="123"/>
      <c r="J20" s="123"/>
      <c r="K20" s="122"/>
      <c r="L20" s="120"/>
      <c r="M20" s="120"/>
      <c r="N20" s="119"/>
      <c r="O20" s="118"/>
    </row>
    <row r="21" spans="1:15" ht="14.25" x14ac:dyDescent="0.15">
      <c r="A21" s="255"/>
      <c r="B21" s="120" t="s">
        <v>403</v>
      </c>
      <c r="C21" s="120" t="s">
        <v>94</v>
      </c>
      <c r="D21" s="120"/>
      <c r="E21" s="61"/>
      <c r="F21" s="61"/>
      <c r="G21" s="120"/>
      <c r="H21" s="119">
        <v>20</v>
      </c>
      <c r="I21" s="120" t="s">
        <v>403</v>
      </c>
      <c r="J21" s="120" t="s">
        <v>94</v>
      </c>
      <c r="K21" s="119">
        <v>20</v>
      </c>
      <c r="L21" s="120"/>
      <c r="M21" s="120"/>
      <c r="N21" s="119"/>
      <c r="O21" s="118"/>
    </row>
    <row r="22" spans="1:15" ht="14.25" x14ac:dyDescent="0.15">
      <c r="A22" s="255"/>
      <c r="B22" s="120"/>
      <c r="C22" s="120"/>
      <c r="D22" s="120"/>
      <c r="E22" s="61"/>
      <c r="F22" s="61"/>
      <c r="G22" s="120" t="s">
        <v>32</v>
      </c>
      <c r="H22" s="119" t="s">
        <v>439</v>
      </c>
      <c r="I22" s="120"/>
      <c r="J22" s="120"/>
      <c r="K22" s="119"/>
      <c r="L22" s="120"/>
      <c r="M22" s="120"/>
      <c r="N22" s="119"/>
      <c r="O22" s="118"/>
    </row>
    <row r="23" spans="1:15" ht="14.25" x14ac:dyDescent="0.15">
      <c r="A23" s="255"/>
      <c r="B23" s="123"/>
      <c r="C23" s="123"/>
      <c r="D23" s="123"/>
      <c r="E23" s="55"/>
      <c r="F23" s="124"/>
      <c r="G23" s="123"/>
      <c r="H23" s="122"/>
      <c r="I23" s="123"/>
      <c r="J23" s="123"/>
      <c r="K23" s="122"/>
      <c r="L23" s="120"/>
      <c r="M23" s="120"/>
      <c r="N23" s="119"/>
      <c r="O23" s="118"/>
    </row>
    <row r="24" spans="1:15" ht="14.25" x14ac:dyDescent="0.15">
      <c r="A24" s="255"/>
      <c r="B24" s="120" t="s">
        <v>43</v>
      </c>
      <c r="C24" s="120" t="s">
        <v>69</v>
      </c>
      <c r="D24" s="120"/>
      <c r="E24" s="61"/>
      <c r="F24" s="61"/>
      <c r="G24" s="120"/>
      <c r="H24" s="119">
        <v>0.5</v>
      </c>
      <c r="I24" s="120" t="s">
        <v>43</v>
      </c>
      <c r="J24" s="120" t="s">
        <v>69</v>
      </c>
      <c r="K24" s="119">
        <v>0.5</v>
      </c>
      <c r="L24" s="120"/>
      <c r="M24" s="120"/>
      <c r="N24" s="119"/>
      <c r="O24" s="118"/>
    </row>
    <row r="25" spans="1:15" ht="14.25" x14ac:dyDescent="0.15">
      <c r="A25" s="255"/>
      <c r="B25" s="120"/>
      <c r="C25" s="120"/>
      <c r="D25" s="120"/>
      <c r="E25" s="61"/>
      <c r="F25" s="61"/>
      <c r="G25" s="120" t="s">
        <v>32</v>
      </c>
      <c r="H25" s="119" t="s">
        <v>439</v>
      </c>
      <c r="I25" s="120"/>
      <c r="J25" s="120"/>
      <c r="K25" s="119"/>
      <c r="L25" s="120"/>
      <c r="M25" s="120"/>
      <c r="N25" s="119"/>
      <c r="O25" s="118"/>
    </row>
    <row r="26" spans="1:15" ht="14.25" x14ac:dyDescent="0.15">
      <c r="A26" s="255"/>
      <c r="B26" s="120"/>
      <c r="C26" s="120"/>
      <c r="D26" s="120"/>
      <c r="E26" s="61"/>
      <c r="F26" s="61"/>
      <c r="G26" s="120" t="s">
        <v>46</v>
      </c>
      <c r="H26" s="119" t="s">
        <v>438</v>
      </c>
      <c r="I26" s="120"/>
      <c r="J26" s="120"/>
      <c r="K26" s="119"/>
      <c r="L26" s="120"/>
      <c r="M26" s="120"/>
      <c r="N26" s="119"/>
      <c r="O26" s="118"/>
    </row>
    <row r="27" spans="1:15" ht="15" thickBot="1" x14ac:dyDescent="0.2">
      <c r="A27" s="256"/>
      <c r="B27" s="117"/>
      <c r="C27" s="117"/>
      <c r="D27" s="117"/>
      <c r="E27" s="68"/>
      <c r="F27" s="68"/>
      <c r="G27" s="117"/>
      <c r="H27" s="116"/>
      <c r="I27" s="117"/>
      <c r="J27" s="117"/>
      <c r="K27" s="116"/>
      <c r="L27" s="117"/>
      <c r="M27" s="117"/>
      <c r="N27" s="116"/>
      <c r="O27" s="115"/>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sheetData>
  <mergeCells count="15">
    <mergeCell ref="L8:N8"/>
    <mergeCell ref="O8:O10"/>
    <mergeCell ref="I9:K9"/>
    <mergeCell ref="L9:N9"/>
    <mergeCell ref="A11:A27"/>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CAED7-F7A4-4FE3-AC3A-D6FFE43C15D1}">
  <sheetPr>
    <pageSetUpPr fitToPage="1"/>
  </sheetPr>
  <dimension ref="A1:U63"/>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263</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408</v>
      </c>
      <c r="C13" s="120" t="s">
        <v>93</v>
      </c>
      <c r="D13" s="120"/>
      <c r="E13" s="61"/>
      <c r="F13" s="61"/>
      <c r="G13" s="120"/>
      <c r="H13" s="119">
        <v>10</v>
      </c>
      <c r="I13" s="120" t="s">
        <v>409</v>
      </c>
      <c r="J13" s="127" t="s">
        <v>156</v>
      </c>
      <c r="K13" s="119">
        <v>5</v>
      </c>
      <c r="L13" s="120" t="s">
        <v>410</v>
      </c>
      <c r="M13" s="120" t="s">
        <v>99</v>
      </c>
      <c r="N13" s="119">
        <v>10</v>
      </c>
      <c r="O13" s="118"/>
    </row>
    <row r="14" spans="1:21" ht="14.25" x14ac:dyDescent="0.15">
      <c r="A14" s="255"/>
      <c r="B14" s="120"/>
      <c r="C14" s="120" t="s">
        <v>30</v>
      </c>
      <c r="D14" s="120"/>
      <c r="E14" s="61"/>
      <c r="F14" s="61"/>
      <c r="G14" s="120"/>
      <c r="H14" s="119">
        <v>10</v>
      </c>
      <c r="I14" s="120"/>
      <c r="J14" s="120" t="s">
        <v>30</v>
      </c>
      <c r="K14" s="119">
        <v>5</v>
      </c>
      <c r="L14" s="120"/>
      <c r="M14" s="120" t="s">
        <v>30</v>
      </c>
      <c r="N14" s="119">
        <v>5</v>
      </c>
      <c r="O14" s="118"/>
    </row>
    <row r="15" spans="1:21" ht="14.25" x14ac:dyDescent="0.15">
      <c r="A15" s="255"/>
      <c r="B15" s="120"/>
      <c r="C15" s="120" t="s">
        <v>257</v>
      </c>
      <c r="D15" s="120"/>
      <c r="E15" s="61"/>
      <c r="F15" s="61"/>
      <c r="G15" s="120"/>
      <c r="H15" s="119">
        <v>5</v>
      </c>
      <c r="I15" s="120"/>
      <c r="J15" s="120" t="s">
        <v>257</v>
      </c>
      <c r="K15" s="119">
        <v>5</v>
      </c>
      <c r="L15" s="123"/>
      <c r="M15" s="123"/>
      <c r="N15" s="122"/>
      <c r="O15" s="126"/>
    </row>
    <row r="16" spans="1:21" ht="14.25" x14ac:dyDescent="0.15">
      <c r="A16" s="255"/>
      <c r="B16" s="120"/>
      <c r="C16" s="120"/>
      <c r="D16" s="120"/>
      <c r="E16" s="61"/>
      <c r="F16" s="61"/>
      <c r="G16" s="120" t="s">
        <v>32</v>
      </c>
      <c r="H16" s="119" t="s">
        <v>439</v>
      </c>
      <c r="I16" s="120"/>
      <c r="J16" s="120"/>
      <c r="K16" s="119"/>
      <c r="L16" s="120" t="s">
        <v>415</v>
      </c>
      <c r="M16" s="120" t="s">
        <v>38</v>
      </c>
      <c r="N16" s="119">
        <v>10</v>
      </c>
      <c r="O16" s="118"/>
    </row>
    <row r="17" spans="1:15" ht="14.25" x14ac:dyDescent="0.15">
      <c r="A17" s="255"/>
      <c r="B17" s="120"/>
      <c r="C17" s="120"/>
      <c r="D17" s="120"/>
      <c r="E17" s="61"/>
      <c r="F17" s="61"/>
      <c r="G17" s="120" t="s">
        <v>33</v>
      </c>
      <c r="H17" s="119" t="s">
        <v>438</v>
      </c>
      <c r="I17" s="120"/>
      <c r="J17" s="120"/>
      <c r="K17" s="119"/>
      <c r="L17" s="120"/>
      <c r="M17" s="120" t="s">
        <v>66</v>
      </c>
      <c r="N17" s="119">
        <v>5</v>
      </c>
      <c r="O17" s="118"/>
    </row>
    <row r="18" spans="1:15" ht="14.25" x14ac:dyDescent="0.15">
      <c r="A18" s="255"/>
      <c r="B18" s="120"/>
      <c r="C18" s="120"/>
      <c r="D18" s="120"/>
      <c r="E18" s="61"/>
      <c r="F18" s="61" t="s">
        <v>36</v>
      </c>
      <c r="G18" s="120" t="s">
        <v>35</v>
      </c>
      <c r="H18" s="119" t="s">
        <v>438</v>
      </c>
      <c r="I18" s="120"/>
      <c r="J18" s="120"/>
      <c r="K18" s="119"/>
      <c r="L18" s="120"/>
      <c r="M18" s="120"/>
      <c r="N18" s="119"/>
      <c r="O18" s="118"/>
    </row>
    <row r="19" spans="1:15" ht="14.25" x14ac:dyDescent="0.15">
      <c r="A19" s="255"/>
      <c r="B19" s="123"/>
      <c r="C19" s="123"/>
      <c r="D19" s="123"/>
      <c r="E19" s="55"/>
      <c r="F19" s="55"/>
      <c r="G19" s="123"/>
      <c r="H19" s="122"/>
      <c r="I19" s="123"/>
      <c r="J19" s="123"/>
      <c r="K19" s="122"/>
      <c r="L19" s="120"/>
      <c r="M19" s="120"/>
      <c r="N19" s="119"/>
      <c r="O19" s="118"/>
    </row>
    <row r="20" spans="1:15" ht="14.25" x14ac:dyDescent="0.15">
      <c r="A20" s="255"/>
      <c r="B20" s="120" t="s">
        <v>414</v>
      </c>
      <c r="C20" s="120" t="s">
        <v>99</v>
      </c>
      <c r="D20" s="120"/>
      <c r="E20" s="61"/>
      <c r="F20" s="61"/>
      <c r="G20" s="120"/>
      <c r="H20" s="119">
        <v>10</v>
      </c>
      <c r="I20" s="120" t="s">
        <v>414</v>
      </c>
      <c r="J20" s="120" t="s">
        <v>99</v>
      </c>
      <c r="K20" s="119">
        <v>10</v>
      </c>
      <c r="L20" s="120"/>
      <c r="M20" s="120"/>
      <c r="N20" s="119"/>
      <c r="O20" s="118"/>
    </row>
    <row r="21" spans="1:15" ht="14.25" x14ac:dyDescent="0.15">
      <c r="A21" s="255"/>
      <c r="B21" s="120"/>
      <c r="C21" s="120" t="s">
        <v>39</v>
      </c>
      <c r="D21" s="120"/>
      <c r="E21" s="61"/>
      <c r="F21" s="61"/>
      <c r="G21" s="120"/>
      <c r="H21" s="119">
        <v>5</v>
      </c>
      <c r="I21" s="120"/>
      <c r="J21" s="120" t="s">
        <v>39</v>
      </c>
      <c r="K21" s="119">
        <v>5</v>
      </c>
      <c r="L21" s="120"/>
      <c r="M21" s="120"/>
      <c r="N21" s="119"/>
      <c r="O21" s="118"/>
    </row>
    <row r="22" spans="1:15" ht="14.25" x14ac:dyDescent="0.15">
      <c r="A22" s="255"/>
      <c r="B22" s="123"/>
      <c r="C22" s="123"/>
      <c r="D22" s="123"/>
      <c r="E22" s="55"/>
      <c r="F22" s="55"/>
      <c r="G22" s="123"/>
      <c r="H22" s="122"/>
      <c r="I22" s="123"/>
      <c r="J22" s="123"/>
      <c r="K22" s="122"/>
      <c r="L22" s="120"/>
      <c r="M22" s="120"/>
      <c r="N22" s="119"/>
      <c r="O22" s="118"/>
    </row>
    <row r="23" spans="1:15" ht="14.25" x14ac:dyDescent="0.15">
      <c r="A23" s="255"/>
      <c r="B23" s="120" t="s">
        <v>264</v>
      </c>
      <c r="C23" s="120" t="s">
        <v>38</v>
      </c>
      <c r="D23" s="120"/>
      <c r="E23" s="61"/>
      <c r="F23" s="157"/>
      <c r="G23" s="120"/>
      <c r="H23" s="119">
        <v>10</v>
      </c>
      <c r="I23" s="120" t="s">
        <v>264</v>
      </c>
      <c r="J23" s="120" t="s">
        <v>38</v>
      </c>
      <c r="K23" s="119">
        <v>10</v>
      </c>
      <c r="L23" s="120"/>
      <c r="M23" s="120"/>
      <c r="N23" s="119"/>
      <c r="O23" s="118"/>
    </row>
    <row r="24" spans="1:15" ht="14.25" x14ac:dyDescent="0.15">
      <c r="A24" s="255"/>
      <c r="B24" s="120"/>
      <c r="C24" s="120" t="s">
        <v>66</v>
      </c>
      <c r="D24" s="120"/>
      <c r="E24" s="61"/>
      <c r="F24" s="61"/>
      <c r="G24" s="120"/>
      <c r="H24" s="119">
        <v>5</v>
      </c>
      <c r="I24" s="120"/>
      <c r="J24" s="120" t="s">
        <v>66</v>
      </c>
      <c r="K24" s="119">
        <v>5</v>
      </c>
      <c r="L24" s="120"/>
      <c r="M24" s="120"/>
      <c r="N24" s="119"/>
      <c r="O24" s="118"/>
    </row>
    <row r="25" spans="1:15" ht="14.25" x14ac:dyDescent="0.15">
      <c r="A25" s="255"/>
      <c r="B25" s="120"/>
      <c r="C25" s="120" t="s">
        <v>55</v>
      </c>
      <c r="D25" s="120"/>
      <c r="E25" s="61" t="s">
        <v>52</v>
      </c>
      <c r="F25" s="61"/>
      <c r="G25" s="120"/>
      <c r="H25" s="119">
        <v>20</v>
      </c>
      <c r="I25" s="120"/>
      <c r="J25" s="120" t="s">
        <v>55</v>
      </c>
      <c r="K25" s="119">
        <v>15</v>
      </c>
      <c r="L25" s="120"/>
      <c r="M25" s="120"/>
      <c r="N25" s="119"/>
      <c r="O25" s="118"/>
    </row>
    <row r="26" spans="1:15" ht="14.25" x14ac:dyDescent="0.15">
      <c r="A26" s="255"/>
      <c r="B26" s="120"/>
      <c r="C26" s="120"/>
      <c r="D26" s="120"/>
      <c r="E26" s="61"/>
      <c r="F26" s="61"/>
      <c r="G26" s="120" t="s">
        <v>53</v>
      </c>
      <c r="H26" s="119" t="s">
        <v>439</v>
      </c>
      <c r="I26" s="120"/>
      <c r="J26" s="120"/>
      <c r="K26" s="119"/>
      <c r="L26" s="120"/>
      <c r="M26" s="120"/>
      <c r="N26" s="119"/>
      <c r="O26" s="118"/>
    </row>
    <row r="27" spans="1:15" ht="15" thickBot="1" x14ac:dyDescent="0.2">
      <c r="A27" s="256"/>
      <c r="B27" s="117"/>
      <c r="C27" s="117"/>
      <c r="D27" s="117"/>
      <c r="E27" s="68"/>
      <c r="F27" s="68"/>
      <c r="G27" s="117"/>
      <c r="H27" s="116"/>
      <c r="I27" s="117"/>
      <c r="J27" s="117"/>
      <c r="K27" s="116"/>
      <c r="L27" s="117"/>
      <c r="M27" s="117"/>
      <c r="N27" s="116"/>
      <c r="O27" s="115"/>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row r="61" spans="2:14" ht="14.25" x14ac:dyDescent="0.15">
      <c r="B61" s="114"/>
      <c r="C61" s="114"/>
      <c r="D61" s="114"/>
      <c r="G61" s="114"/>
      <c r="H61" s="113"/>
      <c r="I61" s="114"/>
      <c r="J61" s="114"/>
      <c r="K61" s="113"/>
      <c r="L61" s="114"/>
      <c r="M61" s="114"/>
      <c r="N61" s="113"/>
    </row>
    <row r="62" spans="2:14" ht="14.25" x14ac:dyDescent="0.15">
      <c r="B62" s="114"/>
      <c r="C62" s="114"/>
      <c r="D62" s="114"/>
      <c r="G62" s="114"/>
      <c r="H62" s="113"/>
      <c r="I62" s="114"/>
      <c r="J62" s="114"/>
      <c r="K62" s="113"/>
      <c r="L62" s="114"/>
      <c r="M62" s="114"/>
      <c r="N62" s="113"/>
    </row>
    <row r="63" spans="2:14" ht="14.25" x14ac:dyDescent="0.15">
      <c r="B63" s="114"/>
      <c r="C63" s="114"/>
      <c r="D63" s="114"/>
      <c r="G63" s="114"/>
      <c r="H63" s="113"/>
      <c r="I63" s="114"/>
      <c r="J63" s="114"/>
      <c r="K63" s="113"/>
      <c r="L63" s="114"/>
      <c r="M63" s="114"/>
      <c r="N63" s="113"/>
    </row>
  </sheetData>
  <mergeCells count="15">
    <mergeCell ref="L8:N8"/>
    <mergeCell ref="O8:O10"/>
    <mergeCell ref="I9:K9"/>
    <mergeCell ref="L9:N9"/>
    <mergeCell ref="A11:A27"/>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27"/>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263</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215</v>
      </c>
      <c r="C10" s="48" t="s">
        <v>91</v>
      </c>
      <c r="D10" s="49" t="s">
        <v>36</v>
      </c>
      <c r="E10" s="50">
        <v>40</v>
      </c>
      <c r="F10" s="51" t="s">
        <v>27</v>
      </c>
      <c r="G10" s="82"/>
      <c r="H10" s="86" t="s">
        <v>91</v>
      </c>
      <c r="I10" s="49" t="s">
        <v>36</v>
      </c>
      <c r="J10" s="51">
        <f>ROUNDUP(E10*0.75,2)</f>
        <v>30</v>
      </c>
      <c r="K10" s="51" t="s">
        <v>27</v>
      </c>
      <c r="L10" s="51"/>
      <c r="M10" s="51">
        <f>ROUNDUP((R5*E10)+(R6*J10)+(R7*(E10*2)),2)</f>
        <v>0</v>
      </c>
      <c r="N10" s="90">
        <f>M10</f>
        <v>0</v>
      </c>
      <c r="O10" s="78" t="s">
        <v>216</v>
      </c>
      <c r="P10" s="52" t="s">
        <v>92</v>
      </c>
      <c r="Q10" s="49" t="s">
        <v>52</v>
      </c>
      <c r="R10" s="53">
        <v>2</v>
      </c>
      <c r="S10" s="50">
        <f t="shared" ref="S10:S15" si="0">ROUNDUP(R10*0.75,2)</f>
        <v>1.5</v>
      </c>
      <c r="T10" s="74">
        <f>ROUNDUP((R5*R10)+(R6*S10)+(R7*(R10*2)),2)</f>
        <v>0</v>
      </c>
    </row>
    <row r="11" spans="1:21" ht="18.75" customHeight="1" x14ac:dyDescent="0.15">
      <c r="A11" s="232"/>
      <c r="B11" s="80"/>
      <c r="C11" s="60" t="s">
        <v>93</v>
      </c>
      <c r="D11" s="61"/>
      <c r="E11" s="65">
        <v>20</v>
      </c>
      <c r="F11" s="62" t="s">
        <v>27</v>
      </c>
      <c r="G11" s="84"/>
      <c r="H11" s="88" t="s">
        <v>93</v>
      </c>
      <c r="I11" s="61"/>
      <c r="J11" s="62">
        <f>ROUNDUP(E11*0.75,2)</f>
        <v>15</v>
      </c>
      <c r="K11" s="62" t="s">
        <v>27</v>
      </c>
      <c r="L11" s="62"/>
      <c r="M11" s="62">
        <f>ROUNDUP((R5*E11)+(R6*J11)+(R7*(E11*2)),2)</f>
        <v>0</v>
      </c>
      <c r="N11" s="92">
        <f>M11</f>
        <v>0</v>
      </c>
      <c r="O11" s="99" t="s">
        <v>291</v>
      </c>
      <c r="P11" s="63" t="s">
        <v>65</v>
      </c>
      <c r="Q11" s="61"/>
      <c r="R11" s="64">
        <v>0.5</v>
      </c>
      <c r="S11" s="65">
        <f t="shared" si="0"/>
        <v>0.38</v>
      </c>
      <c r="T11" s="76">
        <f>ROUNDUP((R5*R11)+(R6*S11)+(R7*(R11*2)),2)</f>
        <v>0</v>
      </c>
    </row>
    <row r="12" spans="1:21" ht="18.75" customHeight="1" x14ac:dyDescent="0.15">
      <c r="A12" s="232"/>
      <c r="B12" s="80"/>
      <c r="C12" s="60" t="s">
        <v>30</v>
      </c>
      <c r="D12" s="61"/>
      <c r="E12" s="65">
        <v>30</v>
      </c>
      <c r="F12" s="62" t="s">
        <v>27</v>
      </c>
      <c r="G12" s="84"/>
      <c r="H12" s="88" t="s">
        <v>30</v>
      </c>
      <c r="I12" s="61"/>
      <c r="J12" s="62">
        <f>ROUNDUP(E12*0.75,2)</f>
        <v>22.5</v>
      </c>
      <c r="K12" s="62" t="s">
        <v>27</v>
      </c>
      <c r="L12" s="62"/>
      <c r="M12" s="62">
        <f>ROUNDUP((R5*E12)+(R6*J12)+(R7*(E12*2)),2)</f>
        <v>0</v>
      </c>
      <c r="N12" s="92">
        <f>ROUND(M12+(M12*6/100),2)</f>
        <v>0</v>
      </c>
      <c r="O12" s="36" t="s">
        <v>292</v>
      </c>
      <c r="P12" s="63" t="s">
        <v>64</v>
      </c>
      <c r="Q12" s="61"/>
      <c r="R12" s="64">
        <v>2</v>
      </c>
      <c r="S12" s="65">
        <f t="shared" si="0"/>
        <v>1.5</v>
      </c>
      <c r="T12" s="76">
        <f>ROUNDUP((R5*R12)+(R6*S12)+(R7*(R12*2)),2)</f>
        <v>0</v>
      </c>
    </row>
    <row r="13" spans="1:21" ht="18.75" customHeight="1" x14ac:dyDescent="0.15">
      <c r="A13" s="232"/>
      <c r="B13" s="80"/>
      <c r="C13" s="60" t="s">
        <v>257</v>
      </c>
      <c r="D13" s="61"/>
      <c r="E13" s="65">
        <v>10</v>
      </c>
      <c r="F13" s="62" t="s">
        <v>27</v>
      </c>
      <c r="G13" s="84"/>
      <c r="H13" s="88" t="s">
        <v>257</v>
      </c>
      <c r="I13" s="61"/>
      <c r="J13" s="62">
        <f>ROUNDUP(E13*0.75,2)</f>
        <v>7.5</v>
      </c>
      <c r="K13" s="62" t="s">
        <v>27</v>
      </c>
      <c r="L13" s="62"/>
      <c r="M13" s="62">
        <f>ROUNDUP((R5*E13)+(R6*J13)+(R7*(E13*2)),2)</f>
        <v>0</v>
      </c>
      <c r="N13" s="92">
        <f>ROUND(M13+(M13*10/100),2)</f>
        <v>0</v>
      </c>
      <c r="O13" s="80" t="s">
        <v>217</v>
      </c>
      <c r="P13" s="63" t="s">
        <v>111</v>
      </c>
      <c r="Q13" s="61"/>
      <c r="R13" s="64">
        <v>10</v>
      </c>
      <c r="S13" s="65">
        <f t="shared" si="0"/>
        <v>7.5</v>
      </c>
      <c r="T13" s="76">
        <f>ROUNDUP((R5*R13)+(R6*S13)+(R7*(R13*2)),2)</f>
        <v>0</v>
      </c>
    </row>
    <row r="14" spans="1:21" ht="18.75" customHeight="1" x14ac:dyDescent="0.15">
      <c r="A14" s="232"/>
      <c r="B14" s="80"/>
      <c r="C14" s="60" t="s">
        <v>181</v>
      </c>
      <c r="D14" s="61"/>
      <c r="E14" s="65">
        <v>5</v>
      </c>
      <c r="F14" s="62" t="s">
        <v>27</v>
      </c>
      <c r="G14" s="84"/>
      <c r="H14" s="88" t="s">
        <v>181</v>
      </c>
      <c r="I14" s="61"/>
      <c r="J14" s="62">
        <f>ROUNDUP(E14*0.75,2)</f>
        <v>3.75</v>
      </c>
      <c r="K14" s="62" t="s">
        <v>27</v>
      </c>
      <c r="L14" s="62"/>
      <c r="M14" s="62">
        <f>ROUNDUP((R5*E14)+(R6*J14)+(R7*(E14*2)),2)</f>
        <v>0</v>
      </c>
      <c r="N14" s="92">
        <f>M14</f>
        <v>0</v>
      </c>
      <c r="O14" s="80" t="s">
        <v>57</v>
      </c>
      <c r="P14" s="63" t="s">
        <v>139</v>
      </c>
      <c r="Q14" s="61"/>
      <c r="R14" s="64">
        <v>2</v>
      </c>
      <c r="S14" s="65">
        <f t="shared" si="0"/>
        <v>1.5</v>
      </c>
      <c r="T14" s="76">
        <f>ROUNDUP((R5*R14)+(R6*S14)+(R7*(R14*2)),2)</f>
        <v>0</v>
      </c>
    </row>
    <row r="15" spans="1:21" ht="18.75" customHeight="1" x14ac:dyDescent="0.15">
      <c r="A15" s="232"/>
      <c r="B15" s="80"/>
      <c r="C15" s="60"/>
      <c r="D15" s="61"/>
      <c r="E15" s="65"/>
      <c r="F15" s="62"/>
      <c r="G15" s="84"/>
      <c r="H15" s="88"/>
      <c r="I15" s="61"/>
      <c r="J15" s="62"/>
      <c r="K15" s="62"/>
      <c r="L15" s="62"/>
      <c r="M15" s="62"/>
      <c r="N15" s="92"/>
      <c r="O15" s="80" t="s">
        <v>24</v>
      </c>
      <c r="P15" s="63" t="s">
        <v>33</v>
      </c>
      <c r="Q15" s="61"/>
      <c r="R15" s="64">
        <v>0.5</v>
      </c>
      <c r="S15" s="65">
        <f t="shared" si="0"/>
        <v>0.38</v>
      </c>
      <c r="T15" s="76">
        <f>ROUNDUP((R5*R15)+(R6*S15)+(R7*(R15*2)),2)</f>
        <v>0</v>
      </c>
    </row>
    <row r="16" spans="1:21" ht="18.75" customHeight="1" x14ac:dyDescent="0.15">
      <c r="A16" s="232"/>
      <c r="B16" s="79"/>
      <c r="C16" s="54"/>
      <c r="D16" s="55"/>
      <c r="E16" s="56"/>
      <c r="F16" s="57"/>
      <c r="G16" s="83"/>
      <c r="H16" s="87"/>
      <c r="I16" s="55"/>
      <c r="J16" s="57"/>
      <c r="K16" s="57"/>
      <c r="L16" s="57"/>
      <c r="M16" s="57"/>
      <c r="N16" s="91"/>
      <c r="O16" s="79"/>
      <c r="P16" s="58"/>
      <c r="Q16" s="55"/>
      <c r="R16" s="59"/>
      <c r="S16" s="56"/>
      <c r="T16" s="75"/>
    </row>
    <row r="17" spans="1:20" ht="18.75" customHeight="1" x14ac:dyDescent="0.15">
      <c r="A17" s="232"/>
      <c r="B17" s="80" t="s">
        <v>219</v>
      </c>
      <c r="C17" s="60" t="s">
        <v>99</v>
      </c>
      <c r="D17" s="61"/>
      <c r="E17" s="65">
        <v>40</v>
      </c>
      <c r="F17" s="62" t="s">
        <v>27</v>
      </c>
      <c r="G17" s="84"/>
      <c r="H17" s="88" t="s">
        <v>99</v>
      </c>
      <c r="I17" s="61"/>
      <c r="J17" s="62">
        <f>ROUNDUP(E17*0.75,2)</f>
        <v>30</v>
      </c>
      <c r="K17" s="62" t="s">
        <v>27</v>
      </c>
      <c r="L17" s="62"/>
      <c r="M17" s="62">
        <f>ROUNDUP((R5*E17)+(R6*J17)+(R7*(E17*2)),2)</f>
        <v>0</v>
      </c>
      <c r="N17" s="92">
        <f>ROUND(M17+(M17*15/100),2)</f>
        <v>0</v>
      </c>
      <c r="O17" s="99" t="s">
        <v>300</v>
      </c>
      <c r="P17" s="63" t="s">
        <v>33</v>
      </c>
      <c r="Q17" s="61"/>
      <c r="R17" s="64">
        <v>0.3</v>
      </c>
      <c r="S17" s="65">
        <f>ROUNDUP(R17*0.75,2)</f>
        <v>0.23</v>
      </c>
      <c r="T17" s="76">
        <f>ROUNDUP((R5*R17)+(R6*S17)+(R7*(R17*2)),2)</f>
        <v>0</v>
      </c>
    </row>
    <row r="18" spans="1:20" ht="18.75" customHeight="1" x14ac:dyDescent="0.15">
      <c r="A18" s="232"/>
      <c r="B18" s="80"/>
      <c r="C18" s="60" t="s">
        <v>39</v>
      </c>
      <c r="D18" s="61"/>
      <c r="E18" s="65">
        <v>10</v>
      </c>
      <c r="F18" s="62" t="s">
        <v>27</v>
      </c>
      <c r="G18" s="84"/>
      <c r="H18" s="88" t="s">
        <v>39</v>
      </c>
      <c r="I18" s="61"/>
      <c r="J18" s="62">
        <f>ROUNDUP(E18*0.75,2)</f>
        <v>7.5</v>
      </c>
      <c r="K18" s="62" t="s">
        <v>27</v>
      </c>
      <c r="L18" s="62"/>
      <c r="M18" s="62">
        <f>ROUNDUP((R5*E18)+(R6*J18)+(R7*(E18*2)),2)</f>
        <v>0</v>
      </c>
      <c r="N18" s="92">
        <f>ROUND(M18+(M18*2/100),2)</f>
        <v>0</v>
      </c>
      <c r="O18" s="80" t="s">
        <v>221</v>
      </c>
      <c r="P18" s="63" t="s">
        <v>35</v>
      </c>
      <c r="Q18" s="61" t="s">
        <v>36</v>
      </c>
      <c r="R18" s="64">
        <v>0.3</v>
      </c>
      <c r="S18" s="65">
        <f>ROUNDUP(R18*0.75,2)</f>
        <v>0.23</v>
      </c>
      <c r="T18" s="76">
        <f>ROUNDUP((R5*R18)+(R6*S18)+(R7*(R18*2)),2)</f>
        <v>0</v>
      </c>
    </row>
    <row r="19" spans="1:20" ht="18.75" customHeight="1" x14ac:dyDescent="0.15">
      <c r="A19" s="232"/>
      <c r="B19" s="80"/>
      <c r="C19" s="60"/>
      <c r="D19" s="61"/>
      <c r="E19" s="65"/>
      <c r="F19" s="62"/>
      <c r="G19" s="84"/>
      <c r="H19" s="88"/>
      <c r="I19" s="61"/>
      <c r="J19" s="62"/>
      <c r="K19" s="62"/>
      <c r="L19" s="62"/>
      <c r="M19" s="62"/>
      <c r="N19" s="92"/>
      <c r="O19" s="80" t="s">
        <v>24</v>
      </c>
      <c r="P19" s="63" t="s">
        <v>40</v>
      </c>
      <c r="Q19" s="61" t="s">
        <v>41</v>
      </c>
      <c r="R19" s="64">
        <v>4</v>
      </c>
      <c r="S19" s="65">
        <f>ROUNDUP(R19*0.75,2)</f>
        <v>3</v>
      </c>
      <c r="T19" s="76">
        <f>ROUNDUP((R5*R19)+(R6*S19)+(R7*(R19*2)),2)</f>
        <v>0</v>
      </c>
    </row>
    <row r="20" spans="1:20" ht="18.75" customHeight="1" x14ac:dyDescent="0.15">
      <c r="A20" s="232"/>
      <c r="B20" s="79"/>
      <c r="C20" s="54"/>
      <c r="D20" s="55"/>
      <c r="E20" s="56"/>
      <c r="F20" s="57"/>
      <c r="G20" s="83"/>
      <c r="H20" s="87"/>
      <c r="I20" s="55"/>
      <c r="J20" s="57"/>
      <c r="K20" s="57"/>
      <c r="L20" s="57"/>
      <c r="M20" s="57"/>
      <c r="N20" s="91"/>
      <c r="O20" s="79"/>
      <c r="P20" s="58"/>
      <c r="Q20" s="55"/>
      <c r="R20" s="59"/>
      <c r="S20" s="56"/>
      <c r="T20" s="75"/>
    </row>
    <row r="21" spans="1:20" ht="18.75" customHeight="1" x14ac:dyDescent="0.15">
      <c r="A21" s="232"/>
      <c r="B21" s="80" t="s">
        <v>264</v>
      </c>
      <c r="C21" s="60" t="s">
        <v>38</v>
      </c>
      <c r="D21" s="61"/>
      <c r="E21" s="65">
        <v>20</v>
      </c>
      <c r="F21" s="62" t="s">
        <v>27</v>
      </c>
      <c r="G21" s="84"/>
      <c r="H21" s="88" t="s">
        <v>38</v>
      </c>
      <c r="I21" s="61"/>
      <c r="J21" s="62">
        <f>ROUNDUP(E21*0.75,2)</f>
        <v>15</v>
      </c>
      <c r="K21" s="62" t="s">
        <v>27</v>
      </c>
      <c r="L21" s="62"/>
      <c r="M21" s="62">
        <f>ROUNDUP((R5*E21)+(R6*J21)+(R7*(E21*2)),2)</f>
        <v>0</v>
      </c>
      <c r="N21" s="92">
        <f>ROUND(M21+(M21*10/100),2)</f>
        <v>0</v>
      </c>
      <c r="O21" s="80" t="s">
        <v>223</v>
      </c>
      <c r="P21" s="63" t="s">
        <v>92</v>
      </c>
      <c r="Q21" s="61" t="s">
        <v>52</v>
      </c>
      <c r="R21" s="64">
        <v>1.5</v>
      </c>
      <c r="S21" s="65">
        <f>ROUNDUP(R21*0.75,2)</f>
        <v>1.1300000000000001</v>
      </c>
      <c r="T21" s="76">
        <f>ROUNDUP((R5*R21)+(R6*S21)+(R7*(R21*2)),2)</f>
        <v>0</v>
      </c>
    </row>
    <row r="22" spans="1:20" ht="18.75" customHeight="1" x14ac:dyDescent="0.15">
      <c r="A22" s="232"/>
      <c r="B22" s="80"/>
      <c r="C22" s="60" t="s">
        <v>66</v>
      </c>
      <c r="D22" s="61"/>
      <c r="E22" s="65">
        <v>10</v>
      </c>
      <c r="F22" s="62" t="s">
        <v>27</v>
      </c>
      <c r="G22" s="84"/>
      <c r="H22" s="88" t="s">
        <v>66</v>
      </c>
      <c r="I22" s="61"/>
      <c r="J22" s="62">
        <f>ROUNDUP(E22*0.75,2)</f>
        <v>7.5</v>
      </c>
      <c r="K22" s="62" t="s">
        <v>27</v>
      </c>
      <c r="L22" s="62"/>
      <c r="M22" s="62">
        <f>ROUNDUP((R5*E22)+(R6*J22)+(R7*(E22*2)),2)</f>
        <v>0</v>
      </c>
      <c r="N22" s="92">
        <f>M22</f>
        <v>0</v>
      </c>
      <c r="O22" s="99" t="s">
        <v>297</v>
      </c>
      <c r="P22" s="63" t="s">
        <v>53</v>
      </c>
      <c r="Q22" s="61"/>
      <c r="R22" s="64">
        <v>60</v>
      </c>
      <c r="S22" s="65">
        <f>ROUNDUP(R22*0.75,2)</f>
        <v>45</v>
      </c>
      <c r="T22" s="76">
        <f>ROUNDUP((R5*R22)+(R6*S22)+(R7*(R22*2)),2)</f>
        <v>0</v>
      </c>
    </row>
    <row r="23" spans="1:20" ht="18.75" customHeight="1" x14ac:dyDescent="0.15">
      <c r="A23" s="232"/>
      <c r="B23" s="80"/>
      <c r="C23" s="60" t="s">
        <v>55</v>
      </c>
      <c r="D23" s="61" t="s">
        <v>52</v>
      </c>
      <c r="E23" s="65">
        <v>40</v>
      </c>
      <c r="F23" s="62" t="s">
        <v>56</v>
      </c>
      <c r="G23" s="84"/>
      <c r="H23" s="88" t="s">
        <v>55</v>
      </c>
      <c r="I23" s="61" t="s">
        <v>52</v>
      </c>
      <c r="J23" s="62">
        <f>ROUNDUP(E23*0.75,2)</f>
        <v>30</v>
      </c>
      <c r="K23" s="62" t="s">
        <v>56</v>
      </c>
      <c r="L23" s="62"/>
      <c r="M23" s="62">
        <f>ROUNDUP((R5*E23)+(R6*J23)+(R7*(E23*2)),2)</f>
        <v>0</v>
      </c>
      <c r="N23" s="92">
        <f>M23</f>
        <v>0</v>
      </c>
      <c r="O23" s="36" t="s">
        <v>271</v>
      </c>
      <c r="P23" s="63" t="s">
        <v>102</v>
      </c>
      <c r="Q23" s="61" t="s">
        <v>103</v>
      </c>
      <c r="R23" s="64">
        <v>0.5</v>
      </c>
      <c r="S23" s="65">
        <f>ROUNDUP(R23*0.75,2)</f>
        <v>0.38</v>
      </c>
      <c r="T23" s="76">
        <f>ROUNDUP((R5*R23)+(R6*S23)+(R7*(R23*2)),2)</f>
        <v>0</v>
      </c>
    </row>
    <row r="24" spans="1:20" ht="18.75" customHeight="1" x14ac:dyDescent="0.15">
      <c r="A24" s="232"/>
      <c r="B24" s="80"/>
      <c r="C24" s="60"/>
      <c r="D24" s="61"/>
      <c r="E24" s="65"/>
      <c r="F24" s="62"/>
      <c r="G24" s="84"/>
      <c r="H24" s="88"/>
      <c r="I24" s="61"/>
      <c r="J24" s="62"/>
      <c r="K24" s="62"/>
      <c r="L24" s="62"/>
      <c r="M24" s="62"/>
      <c r="N24" s="92"/>
      <c r="O24" s="80" t="s">
        <v>97</v>
      </c>
      <c r="P24" s="63" t="s">
        <v>42</v>
      </c>
      <c r="Q24" s="61"/>
      <c r="R24" s="64">
        <v>0.1</v>
      </c>
      <c r="S24" s="65">
        <f>ROUNDUP(R24*0.75,2)</f>
        <v>0.08</v>
      </c>
      <c r="T24" s="76">
        <f>ROUNDUP((R5*R24)+(R6*S24)+(R7*(R24*2)),2)</f>
        <v>0</v>
      </c>
    </row>
    <row r="25" spans="1:20" ht="18.75" customHeight="1" x14ac:dyDescent="0.15">
      <c r="A25" s="232"/>
      <c r="B25" s="80"/>
      <c r="C25" s="60"/>
      <c r="D25" s="61"/>
      <c r="E25" s="65"/>
      <c r="F25" s="62"/>
      <c r="G25" s="84"/>
      <c r="H25" s="88"/>
      <c r="I25" s="61"/>
      <c r="J25" s="62"/>
      <c r="K25" s="62"/>
      <c r="L25" s="62"/>
      <c r="M25" s="62"/>
      <c r="N25" s="92"/>
      <c r="O25" s="80" t="s">
        <v>265</v>
      </c>
      <c r="P25" s="63" t="s">
        <v>37</v>
      </c>
      <c r="Q25" s="61"/>
      <c r="R25" s="64">
        <v>1.5</v>
      </c>
      <c r="S25" s="65">
        <f>ROUNDUP(R25*0.75,2)</f>
        <v>1.1300000000000001</v>
      </c>
      <c r="T25" s="76">
        <f>ROUNDUP((R5*R25)+(R6*S25)+(R7*(R25*2)),2)</f>
        <v>0</v>
      </c>
    </row>
    <row r="26" spans="1:20" ht="18.75" customHeight="1" x14ac:dyDescent="0.15">
      <c r="A26" s="232"/>
      <c r="B26" s="80"/>
      <c r="C26" s="60"/>
      <c r="D26" s="61"/>
      <c r="E26" s="65"/>
      <c r="F26" s="62"/>
      <c r="G26" s="84"/>
      <c r="H26" s="88"/>
      <c r="I26" s="61"/>
      <c r="J26" s="62"/>
      <c r="K26" s="62"/>
      <c r="L26" s="62"/>
      <c r="M26" s="62"/>
      <c r="N26" s="92"/>
      <c r="O26" s="80" t="s">
        <v>24</v>
      </c>
      <c r="P26" s="63"/>
      <c r="Q26" s="61"/>
      <c r="R26" s="64"/>
      <c r="S26" s="65"/>
      <c r="T26" s="76"/>
    </row>
    <row r="27" spans="1:20" ht="18.75" customHeight="1" thickBot="1" x14ac:dyDescent="0.2">
      <c r="A27" s="233"/>
      <c r="B27" s="81"/>
      <c r="C27" s="67"/>
      <c r="D27" s="68"/>
      <c r="E27" s="69"/>
      <c r="F27" s="70"/>
      <c r="G27" s="85"/>
      <c r="H27" s="89"/>
      <c r="I27" s="68"/>
      <c r="J27" s="70"/>
      <c r="K27" s="70"/>
      <c r="L27" s="70"/>
      <c r="M27" s="70"/>
      <c r="N27" s="93"/>
      <c r="O27" s="81"/>
      <c r="P27" s="71"/>
      <c r="Q27" s="68"/>
      <c r="R27" s="72"/>
      <c r="S27" s="69"/>
      <c r="T27" s="77"/>
    </row>
  </sheetData>
  <mergeCells count="5">
    <mergeCell ref="H1:O1"/>
    <mergeCell ref="A2:T2"/>
    <mergeCell ref="Q3:T3"/>
    <mergeCell ref="A8:F8"/>
    <mergeCell ref="A10:A27"/>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DF857-A1F2-4BA2-A068-920F741B19BC}">
  <sheetPr>
    <pageSetUpPr fitToPage="1"/>
  </sheetPr>
  <dimension ref="A1:U63"/>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266</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416</v>
      </c>
      <c r="C11" s="132" t="s">
        <v>441</v>
      </c>
      <c r="D11" s="132"/>
      <c r="E11" s="49"/>
      <c r="F11" s="49"/>
      <c r="G11" s="132"/>
      <c r="H11" s="131" t="s">
        <v>443</v>
      </c>
      <c r="I11" s="132" t="s">
        <v>416</v>
      </c>
      <c r="J11" s="132" t="s">
        <v>441</v>
      </c>
      <c r="K11" s="131" t="s">
        <v>442</v>
      </c>
      <c r="L11" s="132" t="s">
        <v>418</v>
      </c>
      <c r="M11" s="132" t="s">
        <v>441</v>
      </c>
      <c r="N11" s="131">
        <v>30</v>
      </c>
      <c r="O11" s="130"/>
    </row>
    <row r="12" spans="1:21" ht="14.25" x14ac:dyDescent="0.15">
      <c r="A12" s="255"/>
      <c r="B12" s="120"/>
      <c r="C12" s="120" t="s">
        <v>100</v>
      </c>
      <c r="D12" s="120"/>
      <c r="E12" s="61"/>
      <c r="F12" s="61"/>
      <c r="G12" s="120"/>
      <c r="H12" s="119">
        <v>5</v>
      </c>
      <c r="I12" s="120"/>
      <c r="J12" s="120" t="s">
        <v>100</v>
      </c>
      <c r="K12" s="119">
        <v>5</v>
      </c>
      <c r="L12" s="120"/>
      <c r="M12" s="120" t="s">
        <v>100</v>
      </c>
      <c r="N12" s="119">
        <v>5</v>
      </c>
      <c r="O12" s="118"/>
    </row>
    <row r="13" spans="1:21" ht="14.25" x14ac:dyDescent="0.15">
      <c r="A13" s="255"/>
      <c r="B13" s="120"/>
      <c r="C13" s="120" t="s">
        <v>85</v>
      </c>
      <c r="D13" s="120"/>
      <c r="E13" s="61"/>
      <c r="F13" s="61"/>
      <c r="G13" s="120"/>
      <c r="H13" s="119">
        <v>10</v>
      </c>
      <c r="I13" s="120"/>
      <c r="J13" s="127" t="s">
        <v>156</v>
      </c>
      <c r="K13" s="119">
        <v>10</v>
      </c>
      <c r="L13" s="123"/>
      <c r="M13" s="123"/>
      <c r="N13" s="122"/>
      <c r="O13" s="126"/>
    </row>
    <row r="14" spans="1:21" ht="14.25" x14ac:dyDescent="0.15">
      <c r="A14" s="255"/>
      <c r="B14" s="123"/>
      <c r="C14" s="123"/>
      <c r="D14" s="123"/>
      <c r="E14" s="55"/>
      <c r="F14" s="55"/>
      <c r="G14" s="123"/>
      <c r="H14" s="122"/>
      <c r="I14" s="123"/>
      <c r="J14" s="123"/>
      <c r="K14" s="122"/>
      <c r="L14" s="120" t="s">
        <v>421</v>
      </c>
      <c r="M14" s="120" t="s">
        <v>94</v>
      </c>
      <c r="N14" s="119">
        <v>10</v>
      </c>
      <c r="O14" s="118"/>
    </row>
    <row r="15" spans="1:21" ht="14.25" x14ac:dyDescent="0.15">
      <c r="A15" s="255"/>
      <c r="B15" s="120" t="s">
        <v>420</v>
      </c>
      <c r="C15" s="120" t="s">
        <v>94</v>
      </c>
      <c r="D15" s="120"/>
      <c r="E15" s="61"/>
      <c r="F15" s="61"/>
      <c r="G15" s="120"/>
      <c r="H15" s="119">
        <v>20</v>
      </c>
      <c r="I15" s="120" t="s">
        <v>420</v>
      </c>
      <c r="J15" s="120" t="s">
        <v>94</v>
      </c>
      <c r="K15" s="119">
        <v>10</v>
      </c>
      <c r="L15" s="120"/>
      <c r="M15" s="120" t="s">
        <v>31</v>
      </c>
      <c r="N15" s="119">
        <v>5</v>
      </c>
      <c r="O15" s="118"/>
    </row>
    <row r="16" spans="1:21" ht="14.25" x14ac:dyDescent="0.15">
      <c r="A16" s="255"/>
      <c r="B16" s="120"/>
      <c r="C16" s="120" t="s">
        <v>30</v>
      </c>
      <c r="D16" s="120"/>
      <c r="E16" s="61"/>
      <c r="F16" s="61"/>
      <c r="G16" s="120"/>
      <c r="H16" s="119">
        <v>10</v>
      </c>
      <c r="I16" s="120"/>
      <c r="J16" s="120" t="s">
        <v>30</v>
      </c>
      <c r="K16" s="119">
        <v>10</v>
      </c>
      <c r="L16" s="123"/>
      <c r="M16" s="123"/>
      <c r="N16" s="122"/>
      <c r="O16" s="126"/>
    </row>
    <row r="17" spans="1:15" ht="14.25" x14ac:dyDescent="0.15">
      <c r="A17" s="255"/>
      <c r="B17" s="120"/>
      <c r="C17" s="120" t="s">
        <v>31</v>
      </c>
      <c r="D17" s="120"/>
      <c r="E17" s="61"/>
      <c r="F17" s="61"/>
      <c r="G17" s="120"/>
      <c r="H17" s="119">
        <v>5</v>
      </c>
      <c r="I17" s="120"/>
      <c r="J17" s="120" t="s">
        <v>31</v>
      </c>
      <c r="K17" s="119">
        <v>5</v>
      </c>
      <c r="L17" s="120" t="s">
        <v>424</v>
      </c>
      <c r="M17" s="120" t="s">
        <v>30</v>
      </c>
      <c r="N17" s="119">
        <v>5</v>
      </c>
      <c r="O17" s="118"/>
    </row>
    <row r="18" spans="1:15" ht="14.25" x14ac:dyDescent="0.15">
      <c r="A18" s="255"/>
      <c r="B18" s="120"/>
      <c r="C18" s="120" t="s">
        <v>157</v>
      </c>
      <c r="D18" s="120" t="s">
        <v>127</v>
      </c>
      <c r="E18" s="61"/>
      <c r="F18" s="61"/>
      <c r="G18" s="120"/>
      <c r="H18" s="119">
        <v>5</v>
      </c>
      <c r="I18" s="120"/>
      <c r="J18" s="120" t="s">
        <v>157</v>
      </c>
      <c r="K18" s="119">
        <v>5</v>
      </c>
      <c r="L18" s="120"/>
      <c r="M18" s="120" t="s">
        <v>157</v>
      </c>
      <c r="N18" s="119">
        <v>5</v>
      </c>
      <c r="O18" s="118" t="s">
        <v>127</v>
      </c>
    </row>
    <row r="19" spans="1:15" ht="14.25" x14ac:dyDescent="0.15">
      <c r="A19" s="255"/>
      <c r="B19" s="120"/>
      <c r="C19" s="120"/>
      <c r="D19" s="120"/>
      <c r="E19" s="61"/>
      <c r="F19" s="61"/>
      <c r="G19" s="120" t="s">
        <v>32</v>
      </c>
      <c r="H19" s="119" t="s">
        <v>439</v>
      </c>
      <c r="I19" s="120"/>
      <c r="J19" s="120"/>
      <c r="K19" s="119"/>
      <c r="L19" s="123"/>
      <c r="M19" s="123"/>
      <c r="N19" s="122"/>
      <c r="O19" s="126"/>
    </row>
    <row r="20" spans="1:15" ht="14.25" x14ac:dyDescent="0.15">
      <c r="A20" s="255"/>
      <c r="B20" s="123"/>
      <c r="C20" s="123"/>
      <c r="D20" s="123"/>
      <c r="E20" s="55"/>
      <c r="F20" s="55"/>
      <c r="G20" s="123"/>
      <c r="H20" s="122"/>
      <c r="I20" s="123"/>
      <c r="J20" s="123"/>
      <c r="K20" s="122"/>
      <c r="L20" s="120" t="s">
        <v>382</v>
      </c>
      <c r="M20" s="120" t="s">
        <v>316</v>
      </c>
      <c r="N20" s="158">
        <v>0.08</v>
      </c>
      <c r="O20" s="118"/>
    </row>
    <row r="21" spans="1:15" ht="14.25" x14ac:dyDescent="0.15">
      <c r="A21" s="255"/>
      <c r="B21" s="120" t="s">
        <v>164</v>
      </c>
      <c r="C21" s="120" t="s">
        <v>61</v>
      </c>
      <c r="D21" s="120"/>
      <c r="E21" s="61" t="s">
        <v>62</v>
      </c>
      <c r="F21" s="61"/>
      <c r="G21" s="120"/>
      <c r="H21" s="121">
        <v>0.13</v>
      </c>
      <c r="I21" s="120" t="s">
        <v>164</v>
      </c>
      <c r="J21" s="120" t="s">
        <v>440</v>
      </c>
      <c r="K21" s="121">
        <v>0.13</v>
      </c>
      <c r="L21" s="120"/>
      <c r="M21" s="120"/>
      <c r="N21" s="119"/>
      <c r="O21" s="118"/>
    </row>
    <row r="22" spans="1:15" ht="14.25" x14ac:dyDescent="0.15">
      <c r="A22" s="255"/>
      <c r="B22" s="120"/>
      <c r="C22" s="120"/>
      <c r="D22" s="120"/>
      <c r="E22" s="61"/>
      <c r="F22" s="61"/>
      <c r="G22" s="120" t="s">
        <v>53</v>
      </c>
      <c r="H22" s="119" t="s">
        <v>439</v>
      </c>
      <c r="I22" s="120"/>
      <c r="J22" s="120"/>
      <c r="K22" s="119"/>
      <c r="L22" s="120"/>
      <c r="M22" s="120"/>
      <c r="N22" s="119"/>
      <c r="O22" s="118"/>
    </row>
    <row r="23" spans="1:15" ht="14.25" x14ac:dyDescent="0.15">
      <c r="A23" s="255"/>
      <c r="B23" s="123"/>
      <c r="C23" s="123"/>
      <c r="D23" s="123"/>
      <c r="E23" s="55"/>
      <c r="F23" s="124"/>
      <c r="G23" s="123"/>
      <c r="H23" s="122"/>
      <c r="I23" s="123"/>
      <c r="J23" s="123"/>
      <c r="K23" s="122"/>
      <c r="L23" s="120"/>
      <c r="M23" s="120"/>
      <c r="N23" s="119"/>
      <c r="O23" s="118"/>
    </row>
    <row r="24" spans="1:15" ht="14.25" x14ac:dyDescent="0.15">
      <c r="A24" s="255"/>
      <c r="B24" s="120" t="s">
        <v>260</v>
      </c>
      <c r="C24" s="120" t="s">
        <v>316</v>
      </c>
      <c r="D24" s="120"/>
      <c r="E24" s="61"/>
      <c r="F24" s="61"/>
      <c r="G24" s="120"/>
      <c r="H24" s="125">
        <v>0.1</v>
      </c>
      <c r="I24" s="120" t="s">
        <v>260</v>
      </c>
      <c r="J24" s="120" t="s">
        <v>316</v>
      </c>
      <c r="K24" s="125">
        <v>0.1</v>
      </c>
      <c r="L24" s="120"/>
      <c r="M24" s="120"/>
      <c r="N24" s="119"/>
      <c r="O24" s="118"/>
    </row>
    <row r="25" spans="1:15" ht="15" thickBot="1" x14ac:dyDescent="0.2">
      <c r="A25" s="256"/>
      <c r="B25" s="117"/>
      <c r="C25" s="117"/>
      <c r="D25" s="117"/>
      <c r="E25" s="68"/>
      <c r="F25" s="68"/>
      <c r="G25" s="117"/>
      <c r="H25" s="116"/>
      <c r="I25" s="117"/>
      <c r="J25" s="117"/>
      <c r="K25" s="116"/>
      <c r="L25" s="117"/>
      <c r="M25" s="117"/>
      <c r="N25" s="116"/>
      <c r="O25" s="115"/>
    </row>
    <row r="26" spans="1:15" ht="14.25" x14ac:dyDescent="0.15">
      <c r="B26" s="114"/>
      <c r="C26" s="114"/>
      <c r="D26" s="114"/>
      <c r="G26" s="114"/>
      <c r="H26" s="113"/>
      <c r="I26" s="114"/>
      <c r="J26" s="114"/>
      <c r="K26" s="113"/>
      <c r="L26" s="114"/>
      <c r="M26" s="114"/>
      <c r="N26" s="113"/>
    </row>
    <row r="27" spans="1:15" ht="14.25" x14ac:dyDescent="0.15">
      <c r="B27" s="114"/>
      <c r="C27" s="114"/>
      <c r="D27" s="114"/>
      <c r="G27" s="114"/>
      <c r="H27" s="113"/>
      <c r="I27" s="114"/>
      <c r="J27" s="114"/>
      <c r="K27" s="113"/>
      <c r="L27" s="114"/>
      <c r="M27" s="114"/>
      <c r="N27" s="113"/>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row r="61" spans="2:14" ht="14.25" x14ac:dyDescent="0.15">
      <c r="B61" s="114"/>
      <c r="C61" s="114"/>
      <c r="D61" s="114"/>
      <c r="G61" s="114"/>
      <c r="H61" s="113"/>
      <c r="I61" s="114"/>
      <c r="J61" s="114"/>
      <c r="K61" s="113"/>
      <c r="L61" s="114"/>
      <c r="M61" s="114"/>
      <c r="N61" s="113"/>
    </row>
    <row r="62" spans="2:14" ht="14.25" x14ac:dyDescent="0.15">
      <c r="B62" s="114"/>
      <c r="C62" s="114"/>
      <c r="D62" s="114"/>
      <c r="G62" s="114"/>
      <c r="H62" s="113"/>
      <c r="I62" s="114"/>
      <c r="J62" s="114"/>
      <c r="K62" s="113"/>
      <c r="L62" s="114"/>
      <c r="M62" s="114"/>
      <c r="N62" s="113"/>
    </row>
    <row r="63" spans="2:14" ht="14.25" x14ac:dyDescent="0.15">
      <c r="B63" s="114"/>
      <c r="C63" s="114"/>
      <c r="D63" s="114"/>
      <c r="G63" s="114"/>
      <c r="H63" s="113"/>
      <c r="I63" s="114"/>
      <c r="J63" s="114"/>
      <c r="K63" s="113"/>
      <c r="L63" s="114"/>
      <c r="M63" s="114"/>
      <c r="N63" s="113"/>
    </row>
  </sheetData>
  <mergeCells count="15">
    <mergeCell ref="L8:N8"/>
    <mergeCell ref="O8:O10"/>
    <mergeCell ref="I9:K9"/>
    <mergeCell ref="L9:N9"/>
    <mergeCell ref="A11:A25"/>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266</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226</v>
      </c>
      <c r="C10" s="48" t="s">
        <v>85</v>
      </c>
      <c r="D10" s="49"/>
      <c r="E10" s="50">
        <v>10</v>
      </c>
      <c r="F10" s="51" t="s">
        <v>27</v>
      </c>
      <c r="G10" s="82"/>
      <c r="H10" s="86" t="s">
        <v>85</v>
      </c>
      <c r="I10" s="49"/>
      <c r="J10" s="51">
        <f>ROUNDUP(E10*0.75,2)</f>
        <v>7.5</v>
      </c>
      <c r="K10" s="51" t="s">
        <v>27</v>
      </c>
      <c r="L10" s="51"/>
      <c r="M10" s="51">
        <f>ROUNDUP((R5*E10)+(R6*J10)+(R7*(E10*2)),2)</f>
        <v>0</v>
      </c>
      <c r="N10" s="90">
        <f>M10</f>
        <v>0</v>
      </c>
      <c r="O10" s="101" t="s">
        <v>304</v>
      </c>
      <c r="P10" s="52" t="s">
        <v>23</v>
      </c>
      <c r="Q10" s="49"/>
      <c r="R10" s="53">
        <v>110</v>
      </c>
      <c r="S10" s="50">
        <f>ROUNDUP(R10*0.75,2)</f>
        <v>82.5</v>
      </c>
      <c r="T10" s="74">
        <f>ROUNDUP((R5*R10)+(R6*S10)+(R7*(R10*2)),2)</f>
        <v>0</v>
      </c>
    </row>
    <row r="11" spans="1:21" ht="18.75" customHeight="1" x14ac:dyDescent="0.15">
      <c r="A11" s="232"/>
      <c r="B11" s="80"/>
      <c r="C11" s="60" t="s">
        <v>100</v>
      </c>
      <c r="D11" s="61"/>
      <c r="E11" s="65">
        <v>10</v>
      </c>
      <c r="F11" s="62" t="s">
        <v>27</v>
      </c>
      <c r="G11" s="84"/>
      <c r="H11" s="88" t="s">
        <v>100</v>
      </c>
      <c r="I11" s="61"/>
      <c r="J11" s="62">
        <f>ROUNDUP(E11*0.75,2)</f>
        <v>7.5</v>
      </c>
      <c r="K11" s="62" t="s">
        <v>27</v>
      </c>
      <c r="L11" s="62"/>
      <c r="M11" s="62">
        <f>ROUNDUP((R5*E11)+(R6*J11)+(R7*(E11*2)),2)</f>
        <v>0</v>
      </c>
      <c r="N11" s="92">
        <f>M11</f>
        <v>0</v>
      </c>
      <c r="O11" s="36" t="s">
        <v>283</v>
      </c>
      <c r="P11" s="63" t="s">
        <v>92</v>
      </c>
      <c r="Q11" s="61" t="s">
        <v>52</v>
      </c>
      <c r="R11" s="64">
        <v>1</v>
      </c>
      <c r="S11" s="65">
        <f>ROUNDUP(R11*0.75,2)</f>
        <v>0.75</v>
      </c>
      <c r="T11" s="76">
        <f>ROUNDUP((R5*R11)+(R6*S11)+(R7*(R11*2)),2)</f>
        <v>0</v>
      </c>
    </row>
    <row r="12" spans="1:21" ht="18.75" customHeight="1" x14ac:dyDescent="0.15">
      <c r="A12" s="232"/>
      <c r="B12" s="80"/>
      <c r="C12" s="60"/>
      <c r="D12" s="61"/>
      <c r="E12" s="65"/>
      <c r="F12" s="62"/>
      <c r="G12" s="84"/>
      <c r="H12" s="88"/>
      <c r="I12" s="61"/>
      <c r="J12" s="62"/>
      <c r="K12" s="62"/>
      <c r="L12" s="62"/>
      <c r="M12" s="62"/>
      <c r="N12" s="92"/>
      <c r="O12" s="80" t="s">
        <v>24</v>
      </c>
      <c r="P12" s="63" t="s">
        <v>102</v>
      </c>
      <c r="Q12" s="61" t="s">
        <v>103</v>
      </c>
      <c r="R12" s="64">
        <v>0.5</v>
      </c>
      <c r="S12" s="65">
        <f>ROUNDUP(R12*0.75,2)</f>
        <v>0.38</v>
      </c>
      <c r="T12" s="76">
        <f>ROUNDUP((R5*R12)+(R6*S12)+(R7*(R12*2)),2)</f>
        <v>0</v>
      </c>
    </row>
    <row r="13" spans="1:21" ht="18.75" customHeight="1" x14ac:dyDescent="0.15">
      <c r="A13" s="232"/>
      <c r="B13" s="79"/>
      <c r="C13" s="54"/>
      <c r="D13" s="55"/>
      <c r="E13" s="56"/>
      <c r="F13" s="57"/>
      <c r="G13" s="83"/>
      <c r="H13" s="87"/>
      <c r="I13" s="55"/>
      <c r="J13" s="57"/>
      <c r="K13" s="57"/>
      <c r="L13" s="57"/>
      <c r="M13" s="57"/>
      <c r="N13" s="91"/>
      <c r="O13" s="79"/>
      <c r="P13" s="58"/>
      <c r="Q13" s="55"/>
      <c r="R13" s="59"/>
      <c r="S13" s="56"/>
      <c r="T13" s="75"/>
    </row>
    <row r="14" spans="1:21" ht="18.75" customHeight="1" x14ac:dyDescent="0.15">
      <c r="A14" s="232"/>
      <c r="B14" s="80" t="s">
        <v>227</v>
      </c>
      <c r="C14" s="60" t="s">
        <v>94</v>
      </c>
      <c r="D14" s="61"/>
      <c r="E14" s="65">
        <v>50</v>
      </c>
      <c r="F14" s="62" t="s">
        <v>27</v>
      </c>
      <c r="G14" s="84"/>
      <c r="H14" s="88" t="s">
        <v>94</v>
      </c>
      <c r="I14" s="61"/>
      <c r="J14" s="62">
        <f>ROUNDUP(E14*0.75,2)</f>
        <v>37.5</v>
      </c>
      <c r="K14" s="62" t="s">
        <v>27</v>
      </c>
      <c r="L14" s="62"/>
      <c r="M14" s="62">
        <f>ROUNDUP((R5*E14)+(R6*J14)+(R7*(E14*2)),2)</f>
        <v>0</v>
      </c>
      <c r="N14" s="92">
        <f>ROUND(M14+(M14*10/100),2)</f>
        <v>0</v>
      </c>
      <c r="O14" s="80" t="s">
        <v>228</v>
      </c>
      <c r="P14" s="63" t="s">
        <v>64</v>
      </c>
      <c r="Q14" s="61"/>
      <c r="R14" s="64">
        <v>1</v>
      </c>
      <c r="S14" s="65">
        <f t="shared" ref="S14:S22" si="0">ROUNDUP(R14*0.75,2)</f>
        <v>0.75</v>
      </c>
      <c r="T14" s="76">
        <f>ROUNDUP((R5*R14)+(R6*S14)+(R7*(R14*2)),2)</f>
        <v>0</v>
      </c>
    </row>
    <row r="15" spans="1:21" ht="18.75" customHeight="1" x14ac:dyDescent="0.15">
      <c r="A15" s="232"/>
      <c r="B15" s="80"/>
      <c r="C15" s="60" t="s">
        <v>30</v>
      </c>
      <c r="D15" s="61"/>
      <c r="E15" s="65">
        <v>20</v>
      </c>
      <c r="F15" s="62" t="s">
        <v>27</v>
      </c>
      <c r="G15" s="84"/>
      <c r="H15" s="88" t="s">
        <v>30</v>
      </c>
      <c r="I15" s="61"/>
      <c r="J15" s="62">
        <f>ROUNDUP(E15*0.75,2)</f>
        <v>15</v>
      </c>
      <c r="K15" s="62" t="s">
        <v>27</v>
      </c>
      <c r="L15" s="62"/>
      <c r="M15" s="62">
        <f>ROUNDUP((R5*E15)+(R6*J15)+(R7*(E15*2)),2)</f>
        <v>0</v>
      </c>
      <c r="N15" s="92">
        <f>ROUND(M15+(M15*6/100),2)</f>
        <v>0</v>
      </c>
      <c r="O15" s="80" t="s">
        <v>305</v>
      </c>
      <c r="P15" s="63" t="s">
        <v>42</v>
      </c>
      <c r="Q15" s="61"/>
      <c r="R15" s="64">
        <v>0.05</v>
      </c>
      <c r="S15" s="65">
        <f t="shared" si="0"/>
        <v>0.04</v>
      </c>
      <c r="T15" s="76">
        <f>ROUNDUP((R5*R15)+(R6*S15)+(R7*(R15*2)),2)</f>
        <v>0</v>
      </c>
    </row>
    <row r="16" spans="1:21" ht="18.75" customHeight="1" x14ac:dyDescent="0.15">
      <c r="A16" s="232"/>
      <c r="B16" s="80"/>
      <c r="C16" s="60" t="s">
        <v>95</v>
      </c>
      <c r="D16" s="61"/>
      <c r="E16" s="65">
        <v>20</v>
      </c>
      <c r="F16" s="62" t="s">
        <v>27</v>
      </c>
      <c r="G16" s="84"/>
      <c r="H16" s="88" t="s">
        <v>95</v>
      </c>
      <c r="I16" s="61"/>
      <c r="J16" s="62">
        <f>ROUNDUP(E16*0.75,2)</f>
        <v>15</v>
      </c>
      <c r="K16" s="62" t="s">
        <v>27</v>
      </c>
      <c r="L16" s="62"/>
      <c r="M16" s="62">
        <f>ROUNDUP((R5*E16)+(R6*J16)+(R7*(E16*2)),2)</f>
        <v>0</v>
      </c>
      <c r="N16" s="92">
        <f>M16</f>
        <v>0</v>
      </c>
      <c r="O16" s="99" t="s">
        <v>306</v>
      </c>
      <c r="P16" s="63" t="s">
        <v>67</v>
      </c>
      <c r="Q16" s="61"/>
      <c r="R16" s="64">
        <v>0.01</v>
      </c>
      <c r="S16" s="65">
        <f t="shared" si="0"/>
        <v>0.01</v>
      </c>
      <c r="T16" s="76">
        <f>ROUNDUP((R5*R16)+(R6*S16)+(R7*(R16*2)),2)</f>
        <v>0</v>
      </c>
    </row>
    <row r="17" spans="1:20" ht="18.75" customHeight="1" x14ac:dyDescent="0.15">
      <c r="A17" s="232"/>
      <c r="B17" s="80"/>
      <c r="C17" s="60" t="s">
        <v>31</v>
      </c>
      <c r="D17" s="61"/>
      <c r="E17" s="65">
        <v>10</v>
      </c>
      <c r="F17" s="62" t="s">
        <v>27</v>
      </c>
      <c r="G17" s="84"/>
      <c r="H17" s="88" t="s">
        <v>31</v>
      </c>
      <c r="I17" s="61"/>
      <c r="J17" s="62">
        <f>ROUNDUP(E17*0.75,2)</f>
        <v>7.5</v>
      </c>
      <c r="K17" s="62" t="s">
        <v>27</v>
      </c>
      <c r="L17" s="62"/>
      <c r="M17" s="62">
        <f>ROUNDUP((R5*E17)+(R6*J17)+(R7*(E17*2)),2)</f>
        <v>0</v>
      </c>
      <c r="N17" s="92">
        <f>ROUND(M17+(M17*10/100),2)</f>
        <v>0</v>
      </c>
      <c r="O17" s="36" t="s">
        <v>284</v>
      </c>
      <c r="P17" s="63" t="s">
        <v>122</v>
      </c>
      <c r="Q17" s="61" t="s">
        <v>36</v>
      </c>
      <c r="R17" s="64">
        <v>4</v>
      </c>
      <c r="S17" s="65">
        <f t="shared" si="0"/>
        <v>3</v>
      </c>
      <c r="T17" s="76">
        <f>ROUNDUP((R5*R17)+(R6*S17)+(R7*(R17*2)),2)</f>
        <v>0</v>
      </c>
    </row>
    <row r="18" spans="1:20" ht="18.75" customHeight="1" x14ac:dyDescent="0.15">
      <c r="A18" s="232"/>
      <c r="B18" s="80"/>
      <c r="C18" s="60" t="s">
        <v>157</v>
      </c>
      <c r="D18" s="61"/>
      <c r="E18" s="65">
        <v>10</v>
      </c>
      <c r="F18" s="62" t="s">
        <v>27</v>
      </c>
      <c r="G18" s="84" t="s">
        <v>127</v>
      </c>
      <c r="H18" s="88" t="s">
        <v>157</v>
      </c>
      <c r="I18" s="61"/>
      <c r="J18" s="62">
        <f>ROUNDUP(E18*0.75,2)</f>
        <v>7.5</v>
      </c>
      <c r="K18" s="62" t="s">
        <v>27</v>
      </c>
      <c r="L18" s="62" t="s">
        <v>127</v>
      </c>
      <c r="M18" s="62">
        <f>ROUNDUP((R5*E18)+(R6*J18)+(R7*(E18*2)),2)</f>
        <v>0</v>
      </c>
      <c r="N18" s="92">
        <f>M18</f>
        <v>0</v>
      </c>
      <c r="O18" s="80" t="s">
        <v>307</v>
      </c>
      <c r="P18" s="63" t="s">
        <v>122</v>
      </c>
      <c r="Q18" s="61" t="s">
        <v>36</v>
      </c>
      <c r="R18" s="64">
        <v>4</v>
      </c>
      <c r="S18" s="65">
        <f t="shared" si="0"/>
        <v>3</v>
      </c>
      <c r="T18" s="76">
        <f>ROUNDUP((R5*R18)+(R6*S18)+(R7*(R18*2)),2)</f>
        <v>0</v>
      </c>
    </row>
    <row r="19" spans="1:20" ht="18.75" customHeight="1" x14ac:dyDescent="0.15">
      <c r="A19" s="232"/>
      <c r="B19" s="80"/>
      <c r="C19" s="60"/>
      <c r="D19" s="61"/>
      <c r="E19" s="65"/>
      <c r="F19" s="62"/>
      <c r="G19" s="84"/>
      <c r="H19" s="88"/>
      <c r="I19" s="61"/>
      <c r="J19" s="62"/>
      <c r="K19" s="62"/>
      <c r="L19" s="62"/>
      <c r="M19" s="62"/>
      <c r="N19" s="92"/>
      <c r="O19" s="80" t="s">
        <v>44</v>
      </c>
      <c r="P19" s="63" t="s">
        <v>53</v>
      </c>
      <c r="Q19" s="61"/>
      <c r="R19" s="64">
        <v>8</v>
      </c>
      <c r="S19" s="65">
        <f t="shared" si="0"/>
        <v>6</v>
      </c>
      <c r="T19" s="76">
        <f>ROUNDUP((R5*R19)+(R6*S19)+(R7*(R19*2)),2)</f>
        <v>0</v>
      </c>
    </row>
    <row r="20" spans="1:20" ht="18.75" customHeight="1" x14ac:dyDescent="0.15">
      <c r="A20" s="232"/>
      <c r="B20" s="80"/>
      <c r="C20" s="60"/>
      <c r="D20" s="61"/>
      <c r="E20" s="65"/>
      <c r="F20" s="62"/>
      <c r="G20" s="84"/>
      <c r="H20" s="88"/>
      <c r="I20" s="61"/>
      <c r="J20" s="62"/>
      <c r="K20" s="62"/>
      <c r="L20" s="62"/>
      <c r="M20" s="62"/>
      <c r="N20" s="92"/>
      <c r="O20" s="80"/>
      <c r="P20" s="63" t="s">
        <v>229</v>
      </c>
      <c r="Q20" s="61" t="s">
        <v>36</v>
      </c>
      <c r="R20" s="64">
        <v>6</v>
      </c>
      <c r="S20" s="65">
        <f t="shared" si="0"/>
        <v>4.5</v>
      </c>
      <c r="T20" s="76">
        <f>ROUNDUP((R5*R20)+(R6*S20)+(R7*(R20*2)),2)</f>
        <v>0</v>
      </c>
    </row>
    <row r="21" spans="1:20" ht="18.75" customHeight="1" x14ac:dyDescent="0.15">
      <c r="A21" s="232"/>
      <c r="B21" s="80"/>
      <c r="C21" s="60"/>
      <c r="D21" s="61"/>
      <c r="E21" s="65"/>
      <c r="F21" s="62"/>
      <c r="G21" s="84"/>
      <c r="H21" s="88"/>
      <c r="I21" s="61"/>
      <c r="J21" s="62"/>
      <c r="K21" s="62"/>
      <c r="L21" s="62"/>
      <c r="M21" s="62"/>
      <c r="N21" s="92"/>
      <c r="O21" s="80"/>
      <c r="P21" s="63" t="s">
        <v>64</v>
      </c>
      <c r="Q21" s="61"/>
      <c r="R21" s="64">
        <v>6</v>
      </c>
      <c r="S21" s="65">
        <f t="shared" si="0"/>
        <v>4.5</v>
      </c>
      <c r="T21" s="76">
        <f>ROUNDUP((R5*R21)+(R6*S21)+(R7*(R21*2)),2)</f>
        <v>0</v>
      </c>
    </row>
    <row r="22" spans="1:20" ht="18.75" customHeight="1" x14ac:dyDescent="0.15">
      <c r="A22" s="232"/>
      <c r="B22" s="80"/>
      <c r="C22" s="60"/>
      <c r="D22" s="61"/>
      <c r="E22" s="65"/>
      <c r="F22" s="62"/>
      <c r="G22" s="84"/>
      <c r="H22" s="88"/>
      <c r="I22" s="61"/>
      <c r="J22" s="62"/>
      <c r="K22" s="62"/>
      <c r="L22" s="62"/>
      <c r="M22" s="62"/>
      <c r="N22" s="92"/>
      <c r="O22" s="80"/>
      <c r="P22" s="63" t="s">
        <v>139</v>
      </c>
      <c r="Q22" s="61"/>
      <c r="R22" s="64">
        <v>3</v>
      </c>
      <c r="S22" s="65">
        <f t="shared" si="0"/>
        <v>2.25</v>
      </c>
      <c r="T22" s="76">
        <f>ROUNDUP((R5*R22)+(R6*S22)+(R7*(R22*2)),2)</f>
        <v>0</v>
      </c>
    </row>
    <row r="23" spans="1:20" ht="18.75" customHeight="1" x14ac:dyDescent="0.15">
      <c r="A23" s="232"/>
      <c r="B23" s="79"/>
      <c r="C23" s="54"/>
      <c r="D23" s="55"/>
      <c r="E23" s="56"/>
      <c r="F23" s="57"/>
      <c r="G23" s="83"/>
      <c r="H23" s="87"/>
      <c r="I23" s="55"/>
      <c r="J23" s="57"/>
      <c r="K23" s="57"/>
      <c r="L23" s="57"/>
      <c r="M23" s="57"/>
      <c r="N23" s="91"/>
      <c r="O23" s="79"/>
      <c r="P23" s="58"/>
      <c r="Q23" s="55"/>
      <c r="R23" s="59"/>
      <c r="S23" s="56"/>
      <c r="T23" s="75"/>
    </row>
    <row r="24" spans="1:20" ht="18.75" customHeight="1" x14ac:dyDescent="0.15">
      <c r="A24" s="232"/>
      <c r="B24" s="80" t="s">
        <v>164</v>
      </c>
      <c r="C24" s="60" t="s">
        <v>61</v>
      </c>
      <c r="D24" s="61" t="s">
        <v>62</v>
      </c>
      <c r="E24" s="73">
        <v>0.25</v>
      </c>
      <c r="F24" s="62" t="s">
        <v>63</v>
      </c>
      <c r="G24" s="84"/>
      <c r="H24" s="88" t="s">
        <v>61</v>
      </c>
      <c r="I24" s="61" t="s">
        <v>62</v>
      </c>
      <c r="J24" s="62">
        <f>ROUNDUP(E24*0.75,2)</f>
        <v>0.19</v>
      </c>
      <c r="K24" s="62" t="s">
        <v>63</v>
      </c>
      <c r="L24" s="62"/>
      <c r="M24" s="62">
        <f>ROUNDUP((R5*E24)+(R6*J24)+(R7*(E24*2)),2)</f>
        <v>0</v>
      </c>
      <c r="N24" s="92">
        <f>M24</f>
        <v>0</v>
      </c>
      <c r="O24" s="80" t="s">
        <v>24</v>
      </c>
      <c r="P24" s="63" t="s">
        <v>53</v>
      </c>
      <c r="Q24" s="61"/>
      <c r="R24" s="64">
        <v>100</v>
      </c>
      <c r="S24" s="65">
        <f>ROUNDUP(R24*0.75,2)</f>
        <v>75</v>
      </c>
      <c r="T24" s="76">
        <f>ROUNDUP((R5*R24)+(R6*S24)+(R7*(R24*2)),2)</f>
        <v>0</v>
      </c>
    </row>
    <row r="25" spans="1:20" ht="18.75" customHeight="1" x14ac:dyDescent="0.15">
      <c r="A25" s="232"/>
      <c r="B25" s="80"/>
      <c r="C25" s="60" t="s">
        <v>68</v>
      </c>
      <c r="D25" s="61"/>
      <c r="E25" s="65">
        <v>3</v>
      </c>
      <c r="F25" s="62" t="s">
        <v>27</v>
      </c>
      <c r="G25" s="84"/>
      <c r="H25" s="88" t="s">
        <v>68</v>
      </c>
      <c r="I25" s="61"/>
      <c r="J25" s="62">
        <f>ROUNDUP(E25*0.75,2)</f>
        <v>2.25</v>
      </c>
      <c r="K25" s="62" t="s">
        <v>27</v>
      </c>
      <c r="L25" s="62"/>
      <c r="M25" s="62">
        <f>ROUNDUP((R5*E25)+(R6*J25)+(R7*(E25*2)),2)</f>
        <v>0</v>
      </c>
      <c r="N25" s="92">
        <f>ROUND(M25+(M25*40/100),2)</f>
        <v>0</v>
      </c>
      <c r="O25" s="80"/>
      <c r="P25" s="63" t="s">
        <v>102</v>
      </c>
      <c r="Q25" s="61" t="s">
        <v>103</v>
      </c>
      <c r="R25" s="64">
        <v>0.5</v>
      </c>
      <c r="S25" s="65">
        <f>ROUNDUP(R25*0.75,2)</f>
        <v>0.38</v>
      </c>
      <c r="T25" s="76">
        <f>ROUNDUP((R5*R25)+(R6*S25)+(R7*(R25*2)),2)</f>
        <v>0</v>
      </c>
    </row>
    <row r="26" spans="1:20" ht="18.75" customHeight="1" x14ac:dyDescent="0.15">
      <c r="A26" s="232"/>
      <c r="B26" s="80"/>
      <c r="C26" s="60"/>
      <c r="D26" s="61"/>
      <c r="E26" s="65"/>
      <c r="F26" s="62"/>
      <c r="G26" s="84"/>
      <c r="H26" s="88"/>
      <c r="I26" s="61"/>
      <c r="J26" s="62"/>
      <c r="K26" s="62"/>
      <c r="L26" s="62"/>
      <c r="M26" s="62"/>
      <c r="N26" s="92"/>
      <c r="O26" s="80"/>
      <c r="P26" s="63" t="s">
        <v>42</v>
      </c>
      <c r="Q26" s="61"/>
      <c r="R26" s="64">
        <v>0.1</v>
      </c>
      <c r="S26" s="65">
        <f>ROUNDUP(R26*0.75,2)</f>
        <v>0.08</v>
      </c>
      <c r="T26" s="76">
        <f>ROUNDUP((R5*R26)+(R6*S26)+(R7*(R26*2)),2)</f>
        <v>0</v>
      </c>
    </row>
    <row r="27" spans="1:20" ht="18.75" customHeight="1" x14ac:dyDescent="0.15">
      <c r="A27" s="232"/>
      <c r="B27" s="79"/>
      <c r="C27" s="54"/>
      <c r="D27" s="55"/>
      <c r="E27" s="56"/>
      <c r="F27" s="57"/>
      <c r="G27" s="83"/>
      <c r="H27" s="87"/>
      <c r="I27" s="55"/>
      <c r="J27" s="57"/>
      <c r="K27" s="57"/>
      <c r="L27" s="57"/>
      <c r="M27" s="57"/>
      <c r="N27" s="91"/>
      <c r="O27" s="79"/>
      <c r="P27" s="58"/>
      <c r="Q27" s="55"/>
      <c r="R27" s="59"/>
      <c r="S27" s="56"/>
      <c r="T27" s="75"/>
    </row>
    <row r="28" spans="1:20" ht="18.75" customHeight="1" x14ac:dyDescent="0.15">
      <c r="A28" s="232"/>
      <c r="B28" s="80" t="s">
        <v>260</v>
      </c>
      <c r="C28" s="60" t="s">
        <v>316</v>
      </c>
      <c r="D28" s="61"/>
      <c r="E28" s="95">
        <v>0.125</v>
      </c>
      <c r="F28" s="62" t="s">
        <v>63</v>
      </c>
      <c r="G28" s="84"/>
      <c r="H28" s="88" t="s">
        <v>316</v>
      </c>
      <c r="I28" s="61"/>
      <c r="J28" s="62">
        <f>ROUNDUP(E28*0.75,2)</f>
        <v>9.9999999999999992E-2</v>
      </c>
      <c r="K28" s="62" t="s">
        <v>63</v>
      </c>
      <c r="L28" s="62"/>
      <c r="M28" s="62">
        <f>ROUNDUP((R5*E28)+(R6*J28)+(R7*(E28*2)),2)</f>
        <v>0</v>
      </c>
      <c r="N28" s="92">
        <f>M28</f>
        <v>0</v>
      </c>
      <c r="O28" s="80" t="s">
        <v>89</v>
      </c>
      <c r="P28" s="63"/>
      <c r="Q28" s="61"/>
      <c r="R28" s="64"/>
      <c r="S28" s="65"/>
      <c r="T28" s="76"/>
    </row>
    <row r="29" spans="1:20" ht="18.75" customHeight="1" thickBot="1" x14ac:dyDescent="0.2">
      <c r="A29" s="233"/>
      <c r="B29" s="81"/>
      <c r="C29" s="67"/>
      <c r="D29" s="68"/>
      <c r="E29" s="69"/>
      <c r="F29" s="70"/>
      <c r="G29" s="85"/>
      <c r="H29" s="89"/>
      <c r="I29" s="68"/>
      <c r="J29" s="70"/>
      <c r="K29" s="70"/>
      <c r="L29" s="70"/>
      <c r="M29" s="70"/>
      <c r="N29" s="93"/>
      <c r="O29" s="81"/>
      <c r="P29" s="71"/>
      <c r="Q29" s="68"/>
      <c r="R29" s="72"/>
      <c r="S29" s="69"/>
      <c r="T29" s="77"/>
    </row>
  </sheetData>
  <mergeCells count="5">
    <mergeCell ref="H1:O1"/>
    <mergeCell ref="A2:T2"/>
    <mergeCell ref="Q3:T3"/>
    <mergeCell ref="A8:F8"/>
    <mergeCell ref="A10:A29"/>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B31"/>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267</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119</v>
      </c>
      <c r="C10" s="48" t="s">
        <v>120</v>
      </c>
      <c r="D10" s="49" t="s">
        <v>121</v>
      </c>
      <c r="E10" s="97">
        <v>0.5</v>
      </c>
      <c r="F10" s="51" t="s">
        <v>45</v>
      </c>
      <c r="G10" s="82"/>
      <c r="H10" s="86" t="s">
        <v>120</v>
      </c>
      <c r="I10" s="49" t="s">
        <v>121</v>
      </c>
      <c r="J10" s="51">
        <f>ROUNDUP(E10*0.75,2)</f>
        <v>0.38</v>
      </c>
      <c r="K10" s="51" t="s">
        <v>45</v>
      </c>
      <c r="L10" s="51"/>
      <c r="M10" s="51">
        <f>ROUNDUP((R5*E10)+(R6*J10)+(R7*(E10*2)),2)</f>
        <v>0</v>
      </c>
      <c r="N10" s="90">
        <f>M10</f>
        <v>0</v>
      </c>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232</v>
      </c>
      <c r="C12" s="60" t="s">
        <v>182</v>
      </c>
      <c r="D12" s="61"/>
      <c r="E12" s="65">
        <v>1</v>
      </c>
      <c r="F12" s="62" t="s">
        <v>79</v>
      </c>
      <c r="G12" s="84" t="s">
        <v>78</v>
      </c>
      <c r="H12" s="88" t="s">
        <v>182</v>
      </c>
      <c r="I12" s="61"/>
      <c r="J12" s="62">
        <f>ROUNDUP(E12*0.75,2)</f>
        <v>0.75</v>
      </c>
      <c r="K12" s="62" t="s">
        <v>79</v>
      </c>
      <c r="L12" s="62" t="s">
        <v>78</v>
      </c>
      <c r="M12" s="62">
        <f>ROUNDUP((R5*E12)+(R6*J12)+(R7*(E12*2)),2)</f>
        <v>0</v>
      </c>
      <c r="N12" s="92">
        <f>M12</f>
        <v>0</v>
      </c>
      <c r="O12" s="80" t="s">
        <v>233</v>
      </c>
      <c r="P12" s="63" t="s">
        <v>64</v>
      </c>
      <c r="Q12" s="61"/>
      <c r="R12" s="64">
        <v>1</v>
      </c>
      <c r="S12" s="65">
        <f t="shared" ref="S12:S18" si="0">ROUNDUP(R12*0.75,2)</f>
        <v>0.75</v>
      </c>
      <c r="T12" s="76">
        <f>ROUNDUP((R5*R12)+(R6*S12)+(R7*(R12*2)),2)</f>
        <v>0</v>
      </c>
    </row>
    <row r="13" spans="1:21" ht="18.75" customHeight="1" x14ac:dyDescent="0.15">
      <c r="A13" s="232"/>
      <c r="B13" s="80"/>
      <c r="C13" s="60" t="s">
        <v>30</v>
      </c>
      <c r="D13" s="61"/>
      <c r="E13" s="65">
        <v>10</v>
      </c>
      <c r="F13" s="62" t="s">
        <v>27</v>
      </c>
      <c r="G13" s="84"/>
      <c r="H13" s="88" t="s">
        <v>30</v>
      </c>
      <c r="I13" s="61"/>
      <c r="J13" s="62">
        <f>ROUNDUP(E13*0.75,2)</f>
        <v>7.5</v>
      </c>
      <c r="K13" s="62" t="s">
        <v>27</v>
      </c>
      <c r="L13" s="62"/>
      <c r="M13" s="62">
        <f>ROUNDUP((R5*E13)+(R6*J13)+(R7*(E13*2)),2)</f>
        <v>0</v>
      </c>
      <c r="N13" s="92">
        <f>ROUND(M13+(M13*6/100),2)</f>
        <v>0</v>
      </c>
      <c r="O13" s="80" t="s">
        <v>234</v>
      </c>
      <c r="P13" s="63" t="s">
        <v>40</v>
      </c>
      <c r="Q13" s="61" t="s">
        <v>41</v>
      </c>
      <c r="R13" s="64">
        <v>3</v>
      </c>
      <c r="S13" s="65">
        <f t="shared" si="0"/>
        <v>2.25</v>
      </c>
      <c r="T13" s="76">
        <f>ROUNDUP((R5*R13)+(R6*S13)+(R7*(R13*2)),2)</f>
        <v>0</v>
      </c>
    </row>
    <row r="14" spans="1:21" ht="18.75" customHeight="1" x14ac:dyDescent="0.15">
      <c r="A14" s="232"/>
      <c r="B14" s="80"/>
      <c r="C14" s="60" t="s">
        <v>177</v>
      </c>
      <c r="D14" s="61"/>
      <c r="E14" s="65">
        <v>20</v>
      </c>
      <c r="F14" s="62" t="s">
        <v>27</v>
      </c>
      <c r="G14" s="84"/>
      <c r="H14" s="88" t="s">
        <v>177</v>
      </c>
      <c r="I14" s="61"/>
      <c r="J14" s="62">
        <f>ROUNDUP(E14*0.75,2)</f>
        <v>15</v>
      </c>
      <c r="K14" s="62" t="s">
        <v>27</v>
      </c>
      <c r="L14" s="62"/>
      <c r="M14" s="62">
        <f>ROUNDUP((R5*E14)+(R6*J14)+(R7*(E14*2)),2)</f>
        <v>0</v>
      </c>
      <c r="N14" s="92">
        <f>ROUND(M14+(M14*6/100),2)</f>
        <v>0</v>
      </c>
      <c r="O14" s="80" t="s">
        <v>235</v>
      </c>
      <c r="P14" s="63" t="s">
        <v>111</v>
      </c>
      <c r="Q14" s="61"/>
      <c r="R14" s="64">
        <v>1.5</v>
      </c>
      <c r="S14" s="65">
        <f t="shared" si="0"/>
        <v>1.1300000000000001</v>
      </c>
      <c r="T14" s="76">
        <f>ROUNDUP((R5*R14)+(R6*S14)+(R7*(R14*2)),2)</f>
        <v>0</v>
      </c>
    </row>
    <row r="15" spans="1:21" ht="18.75" customHeight="1" x14ac:dyDescent="0.15">
      <c r="A15" s="232"/>
      <c r="B15" s="80"/>
      <c r="C15" s="60"/>
      <c r="D15" s="61"/>
      <c r="E15" s="65"/>
      <c r="F15" s="62"/>
      <c r="G15" s="84"/>
      <c r="H15" s="88"/>
      <c r="I15" s="61"/>
      <c r="J15" s="62"/>
      <c r="K15" s="62"/>
      <c r="L15" s="62"/>
      <c r="M15" s="62"/>
      <c r="N15" s="92"/>
      <c r="O15" s="80" t="s">
        <v>236</v>
      </c>
      <c r="P15" s="63" t="s">
        <v>122</v>
      </c>
      <c r="Q15" s="61" t="s">
        <v>36</v>
      </c>
      <c r="R15" s="64">
        <v>3</v>
      </c>
      <c r="S15" s="65">
        <f t="shared" si="0"/>
        <v>2.25</v>
      </c>
      <c r="T15" s="76">
        <f>ROUNDUP((R5*R15)+(R6*S15)+(R7*(R15*2)),2)</f>
        <v>0</v>
      </c>
    </row>
    <row r="16" spans="1:21" ht="18.75" customHeight="1" x14ac:dyDescent="0.15">
      <c r="A16" s="232"/>
      <c r="B16" s="80"/>
      <c r="C16" s="60"/>
      <c r="D16" s="61"/>
      <c r="E16" s="65"/>
      <c r="F16" s="62"/>
      <c r="G16" s="84"/>
      <c r="H16" s="88"/>
      <c r="I16" s="61"/>
      <c r="J16" s="62"/>
      <c r="K16" s="62"/>
      <c r="L16" s="62"/>
      <c r="M16" s="62"/>
      <c r="N16" s="92"/>
      <c r="O16" s="80" t="s">
        <v>268</v>
      </c>
      <c r="P16" s="63" t="s">
        <v>64</v>
      </c>
      <c r="Q16" s="61"/>
      <c r="R16" s="64">
        <v>1</v>
      </c>
      <c r="S16" s="65">
        <f t="shared" si="0"/>
        <v>0.75</v>
      </c>
      <c r="T16" s="76">
        <f>ROUNDUP((R5*R16)+(R6*S16)+(R7*(R16*2)),2)</f>
        <v>0</v>
      </c>
    </row>
    <row r="17" spans="1:20" ht="18.75" customHeight="1" x14ac:dyDescent="0.15">
      <c r="A17" s="232"/>
      <c r="B17" s="80"/>
      <c r="C17" s="60"/>
      <c r="D17" s="61"/>
      <c r="E17" s="65"/>
      <c r="F17" s="62"/>
      <c r="G17" s="84"/>
      <c r="H17" s="88"/>
      <c r="I17" s="61"/>
      <c r="J17" s="62"/>
      <c r="K17" s="62"/>
      <c r="L17" s="62"/>
      <c r="M17" s="62"/>
      <c r="N17" s="92"/>
      <c r="O17" s="80" t="s">
        <v>24</v>
      </c>
      <c r="P17" s="63" t="s">
        <v>64</v>
      </c>
      <c r="Q17" s="61"/>
      <c r="R17" s="64">
        <v>1</v>
      </c>
      <c r="S17" s="65">
        <f t="shared" si="0"/>
        <v>0.75</v>
      </c>
      <c r="T17" s="76">
        <f>ROUNDUP((R5*R17)+(R6*S17)+(R7*(R17*2)),2)</f>
        <v>0</v>
      </c>
    </row>
    <row r="18" spans="1:20" ht="18.75" customHeight="1" x14ac:dyDescent="0.15">
      <c r="A18" s="232"/>
      <c r="B18" s="80"/>
      <c r="C18" s="60"/>
      <c r="D18" s="61"/>
      <c r="E18" s="65"/>
      <c r="F18" s="62"/>
      <c r="G18" s="84"/>
      <c r="H18" s="88"/>
      <c r="I18" s="61"/>
      <c r="J18" s="62"/>
      <c r="K18" s="62"/>
      <c r="L18" s="62"/>
      <c r="M18" s="62"/>
      <c r="N18" s="92"/>
      <c r="O18" s="80"/>
      <c r="P18" s="63" t="s">
        <v>42</v>
      </c>
      <c r="Q18" s="61"/>
      <c r="R18" s="64">
        <v>0.05</v>
      </c>
      <c r="S18" s="65">
        <f t="shared" si="0"/>
        <v>0.04</v>
      </c>
      <c r="T18" s="76">
        <f>ROUNDUP((R5*R18)+(R6*S18)+(R7*(R18*2)),2)</f>
        <v>0</v>
      </c>
    </row>
    <row r="19" spans="1:20" ht="18.75" customHeight="1" x14ac:dyDescent="0.15">
      <c r="A19" s="232"/>
      <c r="B19" s="79"/>
      <c r="C19" s="54"/>
      <c r="D19" s="55"/>
      <c r="E19" s="56"/>
      <c r="F19" s="57"/>
      <c r="G19" s="83"/>
      <c r="H19" s="87"/>
      <c r="I19" s="55"/>
      <c r="J19" s="57"/>
      <c r="K19" s="57"/>
      <c r="L19" s="57"/>
      <c r="M19" s="57"/>
      <c r="N19" s="91"/>
      <c r="O19" s="79"/>
      <c r="P19" s="58"/>
      <c r="Q19" s="55"/>
      <c r="R19" s="59"/>
      <c r="S19" s="56"/>
      <c r="T19" s="75"/>
    </row>
    <row r="20" spans="1:20" ht="18.75" customHeight="1" x14ac:dyDescent="0.15">
      <c r="A20" s="232"/>
      <c r="B20" s="80" t="s">
        <v>308</v>
      </c>
      <c r="C20" s="60" t="s">
        <v>156</v>
      </c>
      <c r="D20" s="61"/>
      <c r="E20" s="65">
        <v>20</v>
      </c>
      <c r="F20" s="62" t="s">
        <v>27</v>
      </c>
      <c r="G20" s="84"/>
      <c r="H20" s="88" t="s">
        <v>156</v>
      </c>
      <c r="I20" s="61"/>
      <c r="J20" s="62">
        <f>ROUNDUP(E20*0.75,2)</f>
        <v>15</v>
      </c>
      <c r="K20" s="62" t="s">
        <v>27</v>
      </c>
      <c r="L20" s="62"/>
      <c r="M20" s="62">
        <f>ROUNDUP((R5*E20)+(R6*J20)+(R7*(E20*2)),2)</f>
        <v>0</v>
      </c>
      <c r="N20" s="92">
        <f>M20</f>
        <v>0</v>
      </c>
      <c r="O20" s="99" t="s">
        <v>311</v>
      </c>
      <c r="P20" s="63" t="s">
        <v>65</v>
      </c>
      <c r="Q20" s="61"/>
      <c r="R20" s="64">
        <v>1</v>
      </c>
      <c r="S20" s="65">
        <f>ROUNDUP(R20*0.75,2)</f>
        <v>0.75</v>
      </c>
      <c r="T20" s="76">
        <f>ROUNDUP((R5*R20)+(R6*S20)+(R7*(R20*2)),2)</f>
        <v>0</v>
      </c>
    </row>
    <row r="21" spans="1:20" ht="18.75" customHeight="1" x14ac:dyDescent="0.15">
      <c r="A21" s="232"/>
      <c r="B21" s="80" t="s">
        <v>280</v>
      </c>
      <c r="C21" s="60" t="s">
        <v>66</v>
      </c>
      <c r="D21" s="61"/>
      <c r="E21" s="65">
        <v>30</v>
      </c>
      <c r="F21" s="62" t="s">
        <v>27</v>
      </c>
      <c r="G21" s="84"/>
      <c r="H21" s="88" t="s">
        <v>66</v>
      </c>
      <c r="I21" s="61"/>
      <c r="J21" s="62">
        <f>ROUNDUP(E21*0.75,2)</f>
        <v>22.5</v>
      </c>
      <c r="K21" s="62" t="s">
        <v>27</v>
      </c>
      <c r="L21" s="62"/>
      <c r="M21" s="62">
        <f>ROUNDUP((R5*E21)+(R6*J21)+(R7*(E21*2)),2)</f>
        <v>0</v>
      </c>
      <c r="N21" s="92">
        <f>M21</f>
        <v>0</v>
      </c>
      <c r="O21" s="36" t="s">
        <v>279</v>
      </c>
      <c r="P21" s="63" t="s">
        <v>33</v>
      </c>
      <c r="Q21" s="61"/>
      <c r="R21" s="64">
        <v>1</v>
      </c>
      <c r="S21" s="65">
        <f>ROUNDUP(R21*0.75,2)</f>
        <v>0.75</v>
      </c>
      <c r="T21" s="76">
        <f>ROUNDUP((R5*R21)+(R6*S21)+(R7*(R21*2)),2)</f>
        <v>0</v>
      </c>
    </row>
    <row r="22" spans="1:20" ht="18.75" customHeight="1" x14ac:dyDescent="0.15">
      <c r="A22" s="232"/>
      <c r="B22" s="80"/>
      <c r="C22" s="60" t="s">
        <v>31</v>
      </c>
      <c r="D22" s="61"/>
      <c r="E22" s="65">
        <v>10</v>
      </c>
      <c r="F22" s="62" t="s">
        <v>27</v>
      </c>
      <c r="G22" s="84"/>
      <c r="H22" s="88" t="s">
        <v>31</v>
      </c>
      <c r="I22" s="61"/>
      <c r="J22" s="62">
        <f>ROUNDUP(E22*0.75,2)</f>
        <v>7.5</v>
      </c>
      <c r="K22" s="62" t="s">
        <v>27</v>
      </c>
      <c r="L22" s="62"/>
      <c r="M22" s="62">
        <f>ROUNDUP((R5*E22)+(R6*J22)+(R7*(E22*2)),2)</f>
        <v>0</v>
      </c>
      <c r="N22" s="92">
        <f>ROUND(M22+(M22*10/100),2)</f>
        <v>0</v>
      </c>
      <c r="O22" s="80" t="s">
        <v>239</v>
      </c>
      <c r="P22" s="63" t="s">
        <v>35</v>
      </c>
      <c r="Q22" s="61" t="s">
        <v>36</v>
      </c>
      <c r="R22" s="64">
        <v>1</v>
      </c>
      <c r="S22" s="65">
        <f>ROUNDUP(R22*0.75,2)</f>
        <v>0.75</v>
      </c>
      <c r="T22" s="76">
        <f>ROUNDUP((R5*R22)+(R6*S22)+(R7*(R22*2)),2)</f>
        <v>0</v>
      </c>
    </row>
    <row r="23" spans="1:20" ht="18.75" customHeight="1" x14ac:dyDescent="0.15">
      <c r="A23" s="232"/>
      <c r="B23" s="80"/>
      <c r="C23" s="60"/>
      <c r="D23" s="61"/>
      <c r="E23" s="65"/>
      <c r="F23" s="62"/>
      <c r="G23" s="84"/>
      <c r="H23" s="88"/>
      <c r="I23" s="61"/>
      <c r="J23" s="62"/>
      <c r="K23" s="62"/>
      <c r="L23" s="62"/>
      <c r="M23" s="62"/>
      <c r="N23" s="92"/>
      <c r="O23" s="99" t="s">
        <v>309</v>
      </c>
      <c r="P23" s="63" t="s">
        <v>123</v>
      </c>
      <c r="Q23" s="61"/>
      <c r="R23" s="64">
        <v>2</v>
      </c>
      <c r="S23" s="65">
        <f>ROUNDUP(R23*0.75,2)</f>
        <v>1.5</v>
      </c>
      <c r="T23" s="76">
        <f>ROUNDUP((R5*R23)+(R6*S23)+(R7*(R23*2)),2)</f>
        <v>0</v>
      </c>
    </row>
    <row r="24" spans="1:20" ht="18.75" customHeight="1" x14ac:dyDescent="0.15">
      <c r="A24" s="232"/>
      <c r="B24" s="80"/>
      <c r="C24" s="60"/>
      <c r="D24" s="61"/>
      <c r="E24" s="65"/>
      <c r="F24" s="62"/>
      <c r="G24" s="84"/>
      <c r="H24" s="88"/>
      <c r="I24" s="61"/>
      <c r="J24" s="62"/>
      <c r="K24" s="62"/>
      <c r="L24" s="62"/>
      <c r="M24" s="62"/>
      <c r="N24" s="92"/>
      <c r="O24" s="36" t="s">
        <v>312</v>
      </c>
      <c r="P24" s="63" t="s">
        <v>28</v>
      </c>
      <c r="Q24" s="61"/>
      <c r="R24" s="64">
        <v>2</v>
      </c>
      <c r="S24" s="65">
        <f>ROUNDUP(R24*0.75,2)</f>
        <v>1.5</v>
      </c>
      <c r="T24" s="76">
        <f>ROUNDUP((R5*R24)+(R6*S24)+(R7*(R24*2)),2)</f>
        <v>0</v>
      </c>
    </row>
    <row r="25" spans="1:20" ht="18.75" customHeight="1" x14ac:dyDescent="0.15">
      <c r="A25" s="232"/>
      <c r="B25" s="80"/>
      <c r="C25" s="60"/>
      <c r="D25" s="61"/>
      <c r="E25" s="65"/>
      <c r="F25" s="62"/>
      <c r="G25" s="84"/>
      <c r="H25" s="88"/>
      <c r="I25" s="61"/>
      <c r="J25" s="62"/>
      <c r="K25" s="62"/>
      <c r="L25" s="62"/>
      <c r="M25" s="62"/>
      <c r="N25" s="92"/>
      <c r="O25" s="80" t="s">
        <v>24</v>
      </c>
      <c r="P25" s="63"/>
      <c r="Q25" s="61"/>
      <c r="R25" s="64"/>
      <c r="S25" s="65"/>
      <c r="T25" s="76"/>
    </row>
    <row r="26" spans="1:20" ht="18.75" customHeight="1" x14ac:dyDescent="0.15">
      <c r="A26" s="232"/>
      <c r="B26" s="79"/>
      <c r="C26" s="54"/>
      <c r="D26" s="55"/>
      <c r="E26" s="56"/>
      <c r="F26" s="57"/>
      <c r="G26" s="83"/>
      <c r="H26" s="87"/>
      <c r="I26" s="55"/>
      <c r="J26" s="57"/>
      <c r="K26" s="57"/>
      <c r="L26" s="57"/>
      <c r="M26" s="57"/>
      <c r="N26" s="91"/>
      <c r="O26" s="79"/>
      <c r="P26" s="58"/>
      <c r="Q26" s="55"/>
      <c r="R26" s="59"/>
      <c r="S26" s="56"/>
      <c r="T26" s="75"/>
    </row>
    <row r="27" spans="1:20" ht="18.75" customHeight="1" x14ac:dyDescent="0.15">
      <c r="A27" s="232"/>
      <c r="B27" s="80" t="s">
        <v>43</v>
      </c>
      <c r="C27" s="60" t="s">
        <v>313</v>
      </c>
      <c r="D27" s="61"/>
      <c r="E27" s="65">
        <v>5</v>
      </c>
      <c r="F27" s="62" t="s">
        <v>27</v>
      </c>
      <c r="G27" s="84"/>
      <c r="H27" s="88" t="s">
        <v>313</v>
      </c>
      <c r="I27" s="61"/>
      <c r="J27" s="62">
        <f>ROUNDUP(E27*0.75,2)</f>
        <v>3.75</v>
      </c>
      <c r="K27" s="62" t="s">
        <v>27</v>
      </c>
      <c r="L27" s="62"/>
      <c r="M27" s="62">
        <f>ROUNDUP((R5*E27)+(R6*J27)+(R7*(E27*2)),2)</f>
        <v>0</v>
      </c>
      <c r="N27" s="92">
        <f>ROUND(M27+(M27*15/100),2)</f>
        <v>0</v>
      </c>
      <c r="O27" s="80" t="s">
        <v>24</v>
      </c>
      <c r="P27" s="63" t="s">
        <v>32</v>
      </c>
      <c r="Q27" s="61"/>
      <c r="R27" s="64">
        <v>100</v>
      </c>
      <c r="S27" s="65">
        <f>ROUNDUP(R27*0.75,2)</f>
        <v>75</v>
      </c>
      <c r="T27" s="76">
        <f>ROUNDUP((R5*R27)+(R6*S27)+(R7*(R27*2)),2)</f>
        <v>0</v>
      </c>
    </row>
    <row r="28" spans="1:20" ht="18.75" customHeight="1" x14ac:dyDescent="0.15">
      <c r="A28" s="232"/>
      <c r="B28" s="80"/>
      <c r="C28" s="60" t="s">
        <v>124</v>
      </c>
      <c r="D28" s="61" t="s">
        <v>36</v>
      </c>
      <c r="E28" s="66">
        <v>0.1</v>
      </c>
      <c r="F28" s="62" t="s">
        <v>45</v>
      </c>
      <c r="G28" s="84"/>
      <c r="H28" s="88" t="s">
        <v>124</v>
      </c>
      <c r="I28" s="61" t="s">
        <v>36</v>
      </c>
      <c r="J28" s="62">
        <f>ROUNDUP(E28*0.75,2)</f>
        <v>0.08</v>
      </c>
      <c r="K28" s="62" t="s">
        <v>45</v>
      </c>
      <c r="L28" s="62"/>
      <c r="M28" s="62">
        <f>ROUNDUP((R5*E28)+(R6*J28)+(R7*(E28*2)),2)</f>
        <v>0</v>
      </c>
      <c r="N28" s="92">
        <f>M28</f>
        <v>0</v>
      </c>
      <c r="O28" s="80"/>
      <c r="P28" s="63" t="s">
        <v>46</v>
      </c>
      <c r="Q28" s="61"/>
      <c r="R28" s="64">
        <v>3</v>
      </c>
      <c r="S28" s="65">
        <f>ROUNDUP(R28*0.75,2)</f>
        <v>2.25</v>
      </c>
      <c r="T28" s="76">
        <f>ROUNDUP((R5*R28)+(R6*S28)+(R7*(R28*2)),2)</f>
        <v>0</v>
      </c>
    </row>
    <row r="29" spans="1:20" ht="18.75" customHeight="1" x14ac:dyDescent="0.15">
      <c r="A29" s="232"/>
      <c r="B29" s="79"/>
      <c r="C29" s="54"/>
      <c r="D29" s="55"/>
      <c r="E29" s="56"/>
      <c r="F29" s="57"/>
      <c r="G29" s="83"/>
      <c r="H29" s="87"/>
      <c r="I29" s="55"/>
      <c r="J29" s="57"/>
      <c r="K29" s="57"/>
      <c r="L29" s="57"/>
      <c r="M29" s="57"/>
      <c r="N29" s="91"/>
      <c r="O29" s="79"/>
      <c r="P29" s="58"/>
      <c r="Q29" s="55"/>
      <c r="R29" s="59"/>
      <c r="S29" s="56"/>
      <c r="T29" s="75"/>
    </row>
    <row r="30" spans="1:20" ht="18.75" customHeight="1" x14ac:dyDescent="0.15">
      <c r="A30" s="232"/>
      <c r="B30" s="80" t="s">
        <v>149</v>
      </c>
      <c r="C30" s="60" t="s">
        <v>150</v>
      </c>
      <c r="D30" s="61"/>
      <c r="E30" s="73">
        <v>0.25</v>
      </c>
      <c r="F30" s="62" t="s">
        <v>144</v>
      </c>
      <c r="G30" s="84"/>
      <c r="H30" s="88" t="s">
        <v>150</v>
      </c>
      <c r="I30" s="61"/>
      <c r="J30" s="62">
        <f>ROUNDUP(E30*0.75,2)</f>
        <v>0.19</v>
      </c>
      <c r="K30" s="62" t="s">
        <v>144</v>
      </c>
      <c r="L30" s="62"/>
      <c r="M30" s="62">
        <f>ROUNDUP((R5*E30)+(R6*J30)+(R7*(E30*2)),2)</f>
        <v>0</v>
      </c>
      <c r="N30" s="92">
        <f>M30</f>
        <v>0</v>
      </c>
      <c r="O30" s="80" t="s">
        <v>89</v>
      </c>
      <c r="P30" s="63"/>
      <c r="Q30" s="61"/>
      <c r="R30" s="64"/>
      <c r="S30" s="65"/>
      <c r="T30" s="76"/>
    </row>
    <row r="31" spans="1:20" ht="18.75" customHeight="1" thickBot="1" x14ac:dyDescent="0.2">
      <c r="A31" s="233"/>
      <c r="B31" s="81"/>
      <c r="C31" s="67"/>
      <c r="D31" s="68"/>
      <c r="E31" s="69"/>
      <c r="F31" s="70"/>
      <c r="G31" s="85"/>
      <c r="H31" s="89"/>
      <c r="I31" s="68"/>
      <c r="J31" s="70"/>
      <c r="K31" s="70"/>
      <c r="L31" s="70"/>
      <c r="M31" s="70"/>
      <c r="N31" s="93"/>
      <c r="O31" s="81"/>
      <c r="P31" s="71"/>
      <c r="Q31" s="68"/>
      <c r="R31" s="72"/>
      <c r="S31" s="69"/>
      <c r="T31" s="77"/>
    </row>
  </sheetData>
  <mergeCells count="5">
    <mergeCell ref="H1:O1"/>
    <mergeCell ref="A2:T2"/>
    <mergeCell ref="Q3:T3"/>
    <mergeCell ref="A8:F8"/>
    <mergeCell ref="A10:A31"/>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D5F2C-2F9B-4B62-8046-2A48D7D48D64}">
  <sheetPr>
    <pageSetUpPr fitToPage="1"/>
  </sheetPr>
  <dimension ref="A1:U62"/>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70</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333</v>
      </c>
      <c r="C13" s="120" t="s">
        <v>77</v>
      </c>
      <c r="D13" s="120" t="s">
        <v>78</v>
      </c>
      <c r="E13" s="61"/>
      <c r="F13" s="61"/>
      <c r="G13" s="120"/>
      <c r="H13" s="129">
        <v>0.7</v>
      </c>
      <c r="I13" s="120" t="s">
        <v>333</v>
      </c>
      <c r="J13" s="120" t="s">
        <v>77</v>
      </c>
      <c r="K13" s="129">
        <v>0.3</v>
      </c>
      <c r="L13" s="120" t="s">
        <v>334</v>
      </c>
      <c r="M13" s="120" t="s">
        <v>77</v>
      </c>
      <c r="N13" s="128">
        <v>0.2</v>
      </c>
      <c r="O13" s="118" t="s">
        <v>78</v>
      </c>
    </row>
    <row r="14" spans="1:21" ht="14.25" x14ac:dyDescent="0.15">
      <c r="A14" s="255"/>
      <c r="B14" s="120"/>
      <c r="C14" s="120" t="s">
        <v>81</v>
      </c>
      <c r="D14" s="120"/>
      <c r="E14" s="61"/>
      <c r="F14" s="61"/>
      <c r="G14" s="120"/>
      <c r="H14" s="119">
        <v>20</v>
      </c>
      <c r="I14" s="120"/>
      <c r="J14" s="120" t="s">
        <v>81</v>
      </c>
      <c r="K14" s="119">
        <v>15</v>
      </c>
      <c r="L14" s="120"/>
      <c r="M14" s="120" t="s">
        <v>81</v>
      </c>
      <c r="N14" s="119">
        <v>10</v>
      </c>
      <c r="O14" s="118"/>
    </row>
    <row r="15" spans="1:21" ht="14.25" x14ac:dyDescent="0.15">
      <c r="A15" s="255"/>
      <c r="B15" s="120"/>
      <c r="C15" s="120"/>
      <c r="D15" s="120"/>
      <c r="E15" s="61"/>
      <c r="F15" s="61"/>
      <c r="G15" s="120" t="s">
        <v>32</v>
      </c>
      <c r="H15" s="119" t="s">
        <v>439</v>
      </c>
      <c r="I15" s="120"/>
      <c r="J15" s="120"/>
      <c r="K15" s="119"/>
      <c r="L15" s="123"/>
      <c r="M15" s="123"/>
      <c r="N15" s="122"/>
      <c r="O15" s="126"/>
    </row>
    <row r="16" spans="1:21" ht="14.25" x14ac:dyDescent="0.15">
      <c r="A16" s="255"/>
      <c r="B16" s="123"/>
      <c r="C16" s="123"/>
      <c r="D16" s="123"/>
      <c r="E16" s="55"/>
      <c r="F16" s="55"/>
      <c r="G16" s="123"/>
      <c r="H16" s="122"/>
      <c r="I16" s="123"/>
      <c r="J16" s="123"/>
      <c r="K16" s="122"/>
      <c r="L16" s="120" t="s">
        <v>339</v>
      </c>
      <c r="M16" s="120" t="s">
        <v>86</v>
      </c>
      <c r="N16" s="119">
        <v>15</v>
      </c>
      <c r="O16" s="118"/>
    </row>
    <row r="17" spans="1:15" ht="14.25" x14ac:dyDescent="0.15">
      <c r="A17" s="255"/>
      <c r="B17" s="120" t="s">
        <v>338</v>
      </c>
      <c r="C17" s="120" t="s">
        <v>85</v>
      </c>
      <c r="D17" s="120"/>
      <c r="E17" s="61"/>
      <c r="F17" s="61"/>
      <c r="G17" s="120"/>
      <c r="H17" s="119">
        <v>5</v>
      </c>
      <c r="I17" s="120" t="s">
        <v>338</v>
      </c>
      <c r="J17" s="127" t="s">
        <v>156</v>
      </c>
      <c r="K17" s="119">
        <v>5</v>
      </c>
      <c r="L17" s="120"/>
      <c r="M17" s="120" t="s">
        <v>31</v>
      </c>
      <c r="N17" s="119">
        <v>5</v>
      </c>
      <c r="O17" s="118"/>
    </row>
    <row r="18" spans="1:15" ht="14.25" x14ac:dyDescent="0.15">
      <c r="A18" s="255"/>
      <c r="B18" s="120"/>
      <c r="C18" s="120" t="s">
        <v>86</v>
      </c>
      <c r="D18" s="120"/>
      <c r="E18" s="61"/>
      <c r="F18" s="61"/>
      <c r="G18" s="120"/>
      <c r="H18" s="119">
        <v>20</v>
      </c>
      <c r="I18" s="120"/>
      <c r="J18" s="120" t="s">
        <v>86</v>
      </c>
      <c r="K18" s="119">
        <v>20</v>
      </c>
      <c r="L18" s="123"/>
      <c r="M18" s="123"/>
      <c r="N18" s="122"/>
      <c r="O18" s="126"/>
    </row>
    <row r="19" spans="1:15" ht="14.25" x14ac:dyDescent="0.15">
      <c r="A19" s="255"/>
      <c r="B19" s="120"/>
      <c r="C19" s="120" t="s">
        <v>31</v>
      </c>
      <c r="D19" s="120"/>
      <c r="E19" s="61"/>
      <c r="F19" s="61"/>
      <c r="G19" s="120"/>
      <c r="H19" s="119">
        <v>5</v>
      </c>
      <c r="I19" s="120"/>
      <c r="J19" s="120" t="s">
        <v>31</v>
      </c>
      <c r="K19" s="119">
        <v>5</v>
      </c>
      <c r="L19" s="120" t="s">
        <v>88</v>
      </c>
      <c r="M19" s="120" t="s">
        <v>90</v>
      </c>
      <c r="N19" s="125">
        <v>0.1</v>
      </c>
      <c r="O19" s="118"/>
    </row>
    <row r="20" spans="1:15" ht="14.25" x14ac:dyDescent="0.15">
      <c r="A20" s="255"/>
      <c r="B20" s="120"/>
      <c r="C20" s="120"/>
      <c r="D20" s="120"/>
      <c r="E20" s="61"/>
      <c r="F20" s="61"/>
      <c r="G20" s="120" t="s">
        <v>32</v>
      </c>
      <c r="H20" s="119" t="s">
        <v>439</v>
      </c>
      <c r="I20" s="120"/>
      <c r="J20" s="120"/>
      <c r="K20" s="119"/>
      <c r="L20" s="120"/>
      <c r="M20" s="120"/>
      <c r="N20" s="119"/>
      <c r="O20" s="118"/>
    </row>
    <row r="21" spans="1:15" ht="14.25" x14ac:dyDescent="0.15">
      <c r="A21" s="255"/>
      <c r="B21" s="120"/>
      <c r="C21" s="120"/>
      <c r="D21" s="120"/>
      <c r="E21" s="61"/>
      <c r="F21" s="61" t="s">
        <v>36</v>
      </c>
      <c r="G21" s="120" t="s">
        <v>35</v>
      </c>
      <c r="H21" s="119" t="s">
        <v>438</v>
      </c>
      <c r="I21" s="120"/>
      <c r="J21" s="120"/>
      <c r="K21" s="119"/>
      <c r="L21" s="120"/>
      <c r="M21" s="120"/>
      <c r="N21" s="119"/>
      <c r="O21" s="118"/>
    </row>
    <row r="22" spans="1:15" ht="14.25" x14ac:dyDescent="0.15">
      <c r="A22" s="255"/>
      <c r="B22" s="120"/>
      <c r="C22" s="120"/>
      <c r="D22" s="120"/>
      <c r="E22" s="61"/>
      <c r="F22" s="61"/>
      <c r="G22" s="120" t="s">
        <v>33</v>
      </c>
      <c r="H22" s="119" t="s">
        <v>438</v>
      </c>
      <c r="I22" s="120"/>
      <c r="J22" s="120"/>
      <c r="K22" s="119"/>
      <c r="L22" s="120"/>
      <c r="M22" s="120"/>
      <c r="N22" s="119"/>
      <c r="O22" s="118"/>
    </row>
    <row r="23" spans="1:15" ht="14.25" x14ac:dyDescent="0.15">
      <c r="A23" s="255"/>
      <c r="B23" s="123"/>
      <c r="C23" s="123"/>
      <c r="D23" s="123"/>
      <c r="E23" s="55"/>
      <c r="F23" s="124"/>
      <c r="G23" s="123"/>
      <c r="H23" s="122"/>
      <c r="I23" s="123"/>
      <c r="J23" s="123"/>
      <c r="K23" s="122"/>
      <c r="L23" s="120"/>
      <c r="M23" s="120"/>
      <c r="N23" s="119"/>
      <c r="O23" s="118"/>
    </row>
    <row r="24" spans="1:15" ht="14.25" x14ac:dyDescent="0.15">
      <c r="A24" s="255"/>
      <c r="B24" s="120" t="s">
        <v>43</v>
      </c>
      <c r="C24" s="120" t="s">
        <v>61</v>
      </c>
      <c r="D24" s="120"/>
      <c r="E24" s="61" t="s">
        <v>62</v>
      </c>
      <c r="F24" s="61"/>
      <c r="G24" s="120"/>
      <c r="H24" s="121">
        <v>0.13</v>
      </c>
      <c r="I24" s="120" t="s">
        <v>43</v>
      </c>
      <c r="J24" s="120" t="s">
        <v>440</v>
      </c>
      <c r="K24" s="121">
        <v>0.13</v>
      </c>
      <c r="L24" s="120"/>
      <c r="M24" s="120"/>
      <c r="N24" s="119"/>
      <c r="O24" s="118"/>
    </row>
    <row r="25" spans="1:15" ht="14.25" x14ac:dyDescent="0.15">
      <c r="A25" s="255"/>
      <c r="B25" s="120"/>
      <c r="C25" s="120"/>
      <c r="D25" s="120"/>
      <c r="E25" s="61"/>
      <c r="F25" s="61"/>
      <c r="G25" s="120" t="s">
        <v>32</v>
      </c>
      <c r="H25" s="119" t="s">
        <v>439</v>
      </c>
      <c r="I25" s="120"/>
      <c r="J25" s="120"/>
      <c r="K25" s="119"/>
      <c r="L25" s="120"/>
      <c r="M25" s="120"/>
      <c r="N25" s="119"/>
      <c r="O25" s="118"/>
    </row>
    <row r="26" spans="1:15" ht="14.25" x14ac:dyDescent="0.15">
      <c r="A26" s="255"/>
      <c r="B26" s="120"/>
      <c r="C26" s="120"/>
      <c r="D26" s="120"/>
      <c r="E26" s="61"/>
      <c r="F26" s="61"/>
      <c r="G26" s="120" t="s">
        <v>46</v>
      </c>
      <c r="H26" s="119" t="s">
        <v>438</v>
      </c>
      <c r="I26" s="120"/>
      <c r="J26" s="120"/>
      <c r="K26" s="119"/>
      <c r="L26" s="120"/>
      <c r="M26" s="120"/>
      <c r="N26" s="119"/>
      <c r="O26" s="118"/>
    </row>
    <row r="27" spans="1:15" ht="14.25" x14ac:dyDescent="0.15">
      <c r="A27" s="255"/>
      <c r="B27" s="123"/>
      <c r="C27" s="123"/>
      <c r="D27" s="123"/>
      <c r="E27" s="55"/>
      <c r="F27" s="55"/>
      <c r="G27" s="123"/>
      <c r="H27" s="122"/>
      <c r="I27" s="123"/>
      <c r="J27" s="123"/>
      <c r="K27" s="122"/>
      <c r="L27" s="120"/>
      <c r="M27" s="120"/>
      <c r="N27" s="119"/>
      <c r="O27" s="118"/>
    </row>
    <row r="28" spans="1:15" ht="14.25" x14ac:dyDescent="0.15">
      <c r="A28" s="255"/>
      <c r="B28" s="120" t="s">
        <v>88</v>
      </c>
      <c r="C28" s="120" t="s">
        <v>90</v>
      </c>
      <c r="D28" s="120"/>
      <c r="E28" s="61"/>
      <c r="F28" s="61"/>
      <c r="G28" s="120"/>
      <c r="H28" s="121">
        <v>0.13</v>
      </c>
      <c r="I28" s="120" t="s">
        <v>88</v>
      </c>
      <c r="J28" s="120" t="s">
        <v>90</v>
      </c>
      <c r="K28" s="121">
        <v>0.13</v>
      </c>
      <c r="L28" s="120"/>
      <c r="M28" s="120"/>
      <c r="N28" s="119"/>
      <c r="O28" s="118"/>
    </row>
    <row r="29" spans="1:15" ht="15" thickBot="1" x14ac:dyDescent="0.2">
      <c r="A29" s="256"/>
      <c r="B29" s="117"/>
      <c r="C29" s="117"/>
      <c r="D29" s="117"/>
      <c r="E29" s="68"/>
      <c r="F29" s="68"/>
      <c r="G29" s="117"/>
      <c r="H29" s="116"/>
      <c r="I29" s="117"/>
      <c r="J29" s="117"/>
      <c r="K29" s="116"/>
      <c r="L29" s="117"/>
      <c r="M29" s="117"/>
      <c r="N29" s="116"/>
      <c r="O29" s="115"/>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row r="61" spans="2:14" ht="14.25" x14ac:dyDescent="0.15">
      <c r="B61" s="114"/>
      <c r="C61" s="114"/>
      <c r="D61" s="114"/>
      <c r="G61" s="114"/>
      <c r="H61" s="113"/>
      <c r="I61" s="114"/>
      <c r="J61" s="114"/>
      <c r="K61" s="113"/>
      <c r="L61" s="114"/>
      <c r="M61" s="114"/>
      <c r="N61" s="113"/>
    </row>
    <row r="62" spans="2:14" ht="14.25" x14ac:dyDescent="0.15">
      <c r="B62" s="114"/>
      <c r="C62" s="114"/>
      <c r="D62" s="114"/>
      <c r="G62" s="114"/>
      <c r="H62" s="113"/>
      <c r="I62" s="114"/>
      <c r="J62" s="114"/>
      <c r="K62" s="113"/>
      <c r="L62" s="114"/>
      <c r="M62" s="114"/>
      <c r="N62" s="113"/>
    </row>
  </sheetData>
  <mergeCells count="15">
    <mergeCell ref="L8:N8"/>
    <mergeCell ref="O8:O10"/>
    <mergeCell ref="I9:K9"/>
    <mergeCell ref="L9:N9"/>
    <mergeCell ref="A11:A29"/>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E9BDB-23D7-4A51-AE32-8B59F7A65BB9}">
  <sheetPr>
    <pageSetUpPr fitToPage="1"/>
  </sheetPr>
  <dimension ref="A1:U64"/>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style="152" hidden="1" customWidth="1"/>
    <col min="16" max="256" width="9" style="152"/>
    <col min="257" max="257" width="4.5" style="152" customWidth="1"/>
    <col min="258" max="258" width="24.375" style="152" customWidth="1"/>
    <col min="259" max="259" width="28.25" style="152" customWidth="1"/>
    <col min="260" max="260" width="0" style="152" hidden="1" customWidth="1"/>
    <col min="261" max="262" width="10.375" style="152" customWidth="1"/>
    <col min="263" max="263" width="10" style="152" customWidth="1"/>
    <col min="264" max="264" width="18.75" style="152" customWidth="1"/>
    <col min="265" max="265" width="22.5" style="152" customWidth="1"/>
    <col min="266" max="266" width="21.25" style="152" customWidth="1"/>
    <col min="267" max="267" width="11.125" style="152" customWidth="1"/>
    <col min="268" max="268" width="22.375" style="152" customWidth="1"/>
    <col min="269" max="269" width="21.25" style="152" customWidth="1"/>
    <col min="270" max="270" width="11.25" style="152" customWidth="1"/>
    <col min="271" max="271" width="0" style="152" hidden="1" customWidth="1"/>
    <col min="272" max="512" width="9" style="152"/>
    <col min="513" max="513" width="4.5" style="152" customWidth="1"/>
    <col min="514" max="514" width="24.375" style="152" customWidth="1"/>
    <col min="515" max="515" width="28.25" style="152" customWidth="1"/>
    <col min="516" max="516" width="0" style="152" hidden="1" customWidth="1"/>
    <col min="517" max="518" width="10.375" style="152" customWidth="1"/>
    <col min="519" max="519" width="10" style="152" customWidth="1"/>
    <col min="520" max="520" width="18.75" style="152" customWidth="1"/>
    <col min="521" max="521" width="22.5" style="152" customWidth="1"/>
    <col min="522" max="522" width="21.25" style="152" customWidth="1"/>
    <col min="523" max="523" width="11.125" style="152" customWidth="1"/>
    <col min="524" max="524" width="22.375" style="152" customWidth="1"/>
    <col min="525" max="525" width="21.25" style="152" customWidth="1"/>
    <col min="526" max="526" width="11.25" style="152" customWidth="1"/>
    <col min="527" max="527" width="0" style="152" hidden="1" customWidth="1"/>
    <col min="528" max="768" width="9" style="152"/>
    <col min="769" max="769" width="4.5" style="152" customWidth="1"/>
    <col min="770" max="770" width="24.375" style="152" customWidth="1"/>
    <col min="771" max="771" width="28.25" style="152" customWidth="1"/>
    <col min="772" max="772" width="0" style="152" hidden="1" customWidth="1"/>
    <col min="773" max="774" width="10.375" style="152" customWidth="1"/>
    <col min="775" max="775" width="10" style="152" customWidth="1"/>
    <col min="776" max="776" width="18.75" style="152" customWidth="1"/>
    <col min="777" max="777" width="22.5" style="152" customWidth="1"/>
    <col min="778" max="778" width="21.25" style="152" customWidth="1"/>
    <col min="779" max="779" width="11.125" style="152" customWidth="1"/>
    <col min="780" max="780" width="22.375" style="152" customWidth="1"/>
    <col min="781" max="781" width="21.25" style="152" customWidth="1"/>
    <col min="782" max="782" width="11.25" style="152" customWidth="1"/>
    <col min="783" max="783" width="0" style="152" hidden="1" customWidth="1"/>
    <col min="784" max="1024" width="9" style="152"/>
    <col min="1025" max="1025" width="4.5" style="152" customWidth="1"/>
    <col min="1026" max="1026" width="24.375" style="152" customWidth="1"/>
    <col min="1027" max="1027" width="28.25" style="152" customWidth="1"/>
    <col min="1028" max="1028" width="0" style="152" hidden="1" customWidth="1"/>
    <col min="1029" max="1030" width="10.375" style="152" customWidth="1"/>
    <col min="1031" max="1031" width="10" style="152" customWidth="1"/>
    <col min="1032" max="1032" width="18.75" style="152" customWidth="1"/>
    <col min="1033" max="1033" width="22.5" style="152" customWidth="1"/>
    <col min="1034" max="1034" width="21.25" style="152" customWidth="1"/>
    <col min="1035" max="1035" width="11.125" style="152" customWidth="1"/>
    <col min="1036" max="1036" width="22.375" style="152" customWidth="1"/>
    <col min="1037" max="1037" width="21.25" style="152" customWidth="1"/>
    <col min="1038" max="1038" width="11.25" style="152" customWidth="1"/>
    <col min="1039" max="1039" width="0" style="152" hidden="1" customWidth="1"/>
    <col min="1040" max="1280" width="9" style="152"/>
    <col min="1281" max="1281" width="4.5" style="152" customWidth="1"/>
    <col min="1282" max="1282" width="24.375" style="152" customWidth="1"/>
    <col min="1283" max="1283" width="28.25" style="152" customWidth="1"/>
    <col min="1284" max="1284" width="0" style="152" hidden="1" customWidth="1"/>
    <col min="1285" max="1286" width="10.375" style="152" customWidth="1"/>
    <col min="1287" max="1287" width="10" style="152" customWidth="1"/>
    <col min="1288" max="1288" width="18.75" style="152" customWidth="1"/>
    <col min="1289" max="1289" width="22.5" style="152" customWidth="1"/>
    <col min="1290" max="1290" width="21.25" style="152" customWidth="1"/>
    <col min="1291" max="1291" width="11.125" style="152" customWidth="1"/>
    <col min="1292" max="1292" width="22.375" style="152" customWidth="1"/>
    <col min="1293" max="1293" width="21.25" style="152" customWidth="1"/>
    <col min="1294" max="1294" width="11.25" style="152" customWidth="1"/>
    <col min="1295" max="1295" width="0" style="152" hidden="1" customWidth="1"/>
    <col min="1296" max="1536" width="9" style="152"/>
    <col min="1537" max="1537" width="4.5" style="152" customWidth="1"/>
    <col min="1538" max="1538" width="24.375" style="152" customWidth="1"/>
    <col min="1539" max="1539" width="28.25" style="152" customWidth="1"/>
    <col min="1540" max="1540" width="0" style="152" hidden="1" customWidth="1"/>
    <col min="1541" max="1542" width="10.375" style="152" customWidth="1"/>
    <col min="1543" max="1543" width="10" style="152" customWidth="1"/>
    <col min="1544" max="1544" width="18.75" style="152" customWidth="1"/>
    <col min="1545" max="1545" width="22.5" style="152" customWidth="1"/>
    <col min="1546" max="1546" width="21.25" style="152" customWidth="1"/>
    <col min="1547" max="1547" width="11.125" style="152" customWidth="1"/>
    <col min="1548" max="1548" width="22.375" style="152" customWidth="1"/>
    <col min="1549" max="1549" width="21.25" style="152" customWidth="1"/>
    <col min="1550" max="1550" width="11.25" style="152" customWidth="1"/>
    <col min="1551" max="1551" width="0" style="152" hidden="1" customWidth="1"/>
    <col min="1552" max="1792" width="9" style="152"/>
    <col min="1793" max="1793" width="4.5" style="152" customWidth="1"/>
    <col min="1794" max="1794" width="24.375" style="152" customWidth="1"/>
    <col min="1795" max="1795" width="28.25" style="152" customWidth="1"/>
    <col min="1796" max="1796" width="0" style="152" hidden="1" customWidth="1"/>
    <col min="1797" max="1798" width="10.375" style="152" customWidth="1"/>
    <col min="1799" max="1799" width="10" style="152" customWidth="1"/>
    <col min="1800" max="1800" width="18.75" style="152" customWidth="1"/>
    <col min="1801" max="1801" width="22.5" style="152" customWidth="1"/>
    <col min="1802" max="1802" width="21.25" style="152" customWidth="1"/>
    <col min="1803" max="1803" width="11.125" style="152" customWidth="1"/>
    <col min="1804" max="1804" width="22.375" style="152" customWidth="1"/>
    <col min="1805" max="1805" width="21.25" style="152" customWidth="1"/>
    <col min="1806" max="1806" width="11.25" style="152" customWidth="1"/>
    <col min="1807" max="1807" width="0" style="152" hidden="1" customWidth="1"/>
    <col min="1808" max="2048" width="9" style="152"/>
    <col min="2049" max="2049" width="4.5" style="152" customWidth="1"/>
    <col min="2050" max="2050" width="24.375" style="152" customWidth="1"/>
    <col min="2051" max="2051" width="28.25" style="152" customWidth="1"/>
    <col min="2052" max="2052" width="0" style="152" hidden="1" customWidth="1"/>
    <col min="2053" max="2054" width="10.375" style="152" customWidth="1"/>
    <col min="2055" max="2055" width="10" style="152" customWidth="1"/>
    <col min="2056" max="2056" width="18.75" style="152" customWidth="1"/>
    <col min="2057" max="2057" width="22.5" style="152" customWidth="1"/>
    <col min="2058" max="2058" width="21.25" style="152" customWidth="1"/>
    <col min="2059" max="2059" width="11.125" style="152" customWidth="1"/>
    <col min="2060" max="2060" width="22.375" style="152" customWidth="1"/>
    <col min="2061" max="2061" width="21.25" style="152" customWidth="1"/>
    <col min="2062" max="2062" width="11.25" style="152" customWidth="1"/>
    <col min="2063" max="2063" width="0" style="152" hidden="1" customWidth="1"/>
    <col min="2064" max="2304" width="9" style="152"/>
    <col min="2305" max="2305" width="4.5" style="152" customWidth="1"/>
    <col min="2306" max="2306" width="24.375" style="152" customWidth="1"/>
    <col min="2307" max="2307" width="28.25" style="152" customWidth="1"/>
    <col min="2308" max="2308" width="0" style="152" hidden="1" customWidth="1"/>
    <col min="2309" max="2310" width="10.375" style="152" customWidth="1"/>
    <col min="2311" max="2311" width="10" style="152" customWidth="1"/>
    <col min="2312" max="2312" width="18.75" style="152" customWidth="1"/>
    <col min="2313" max="2313" width="22.5" style="152" customWidth="1"/>
    <col min="2314" max="2314" width="21.25" style="152" customWidth="1"/>
    <col min="2315" max="2315" width="11.125" style="152" customWidth="1"/>
    <col min="2316" max="2316" width="22.375" style="152" customWidth="1"/>
    <col min="2317" max="2317" width="21.25" style="152" customWidth="1"/>
    <col min="2318" max="2318" width="11.25" style="152" customWidth="1"/>
    <col min="2319" max="2319" width="0" style="152" hidden="1" customWidth="1"/>
    <col min="2320" max="2560" width="9" style="152"/>
    <col min="2561" max="2561" width="4.5" style="152" customWidth="1"/>
    <col min="2562" max="2562" width="24.375" style="152" customWidth="1"/>
    <col min="2563" max="2563" width="28.25" style="152" customWidth="1"/>
    <col min="2564" max="2564" width="0" style="152" hidden="1" customWidth="1"/>
    <col min="2565" max="2566" width="10.375" style="152" customWidth="1"/>
    <col min="2567" max="2567" width="10" style="152" customWidth="1"/>
    <col min="2568" max="2568" width="18.75" style="152" customWidth="1"/>
    <col min="2569" max="2569" width="22.5" style="152" customWidth="1"/>
    <col min="2570" max="2570" width="21.25" style="152" customWidth="1"/>
    <col min="2571" max="2571" width="11.125" style="152" customWidth="1"/>
    <col min="2572" max="2572" width="22.375" style="152" customWidth="1"/>
    <col min="2573" max="2573" width="21.25" style="152" customWidth="1"/>
    <col min="2574" max="2574" width="11.25" style="152" customWidth="1"/>
    <col min="2575" max="2575" width="0" style="152" hidden="1" customWidth="1"/>
    <col min="2576" max="2816" width="9" style="152"/>
    <col min="2817" max="2817" width="4.5" style="152" customWidth="1"/>
    <col min="2818" max="2818" width="24.375" style="152" customWidth="1"/>
    <col min="2819" max="2819" width="28.25" style="152" customWidth="1"/>
    <col min="2820" max="2820" width="0" style="152" hidden="1" customWidth="1"/>
    <col min="2821" max="2822" width="10.375" style="152" customWidth="1"/>
    <col min="2823" max="2823" width="10" style="152" customWidth="1"/>
    <col min="2824" max="2824" width="18.75" style="152" customWidth="1"/>
    <col min="2825" max="2825" width="22.5" style="152" customWidth="1"/>
    <col min="2826" max="2826" width="21.25" style="152" customWidth="1"/>
    <col min="2827" max="2827" width="11.125" style="152" customWidth="1"/>
    <col min="2828" max="2828" width="22.375" style="152" customWidth="1"/>
    <col min="2829" max="2829" width="21.25" style="152" customWidth="1"/>
    <col min="2830" max="2830" width="11.25" style="152" customWidth="1"/>
    <col min="2831" max="2831" width="0" style="152" hidden="1" customWidth="1"/>
    <col min="2832" max="3072" width="9" style="152"/>
    <col min="3073" max="3073" width="4.5" style="152" customWidth="1"/>
    <col min="3074" max="3074" width="24.375" style="152" customWidth="1"/>
    <col min="3075" max="3075" width="28.25" style="152" customWidth="1"/>
    <col min="3076" max="3076" width="0" style="152" hidden="1" customWidth="1"/>
    <col min="3077" max="3078" width="10.375" style="152" customWidth="1"/>
    <col min="3079" max="3079" width="10" style="152" customWidth="1"/>
    <col min="3080" max="3080" width="18.75" style="152" customWidth="1"/>
    <col min="3081" max="3081" width="22.5" style="152" customWidth="1"/>
    <col min="3082" max="3082" width="21.25" style="152" customWidth="1"/>
    <col min="3083" max="3083" width="11.125" style="152" customWidth="1"/>
    <col min="3084" max="3084" width="22.375" style="152" customWidth="1"/>
    <col min="3085" max="3085" width="21.25" style="152" customWidth="1"/>
    <col min="3086" max="3086" width="11.25" style="152" customWidth="1"/>
    <col min="3087" max="3087" width="0" style="152" hidden="1" customWidth="1"/>
    <col min="3088" max="3328" width="9" style="152"/>
    <col min="3329" max="3329" width="4.5" style="152" customWidth="1"/>
    <col min="3330" max="3330" width="24.375" style="152" customWidth="1"/>
    <col min="3331" max="3331" width="28.25" style="152" customWidth="1"/>
    <col min="3332" max="3332" width="0" style="152" hidden="1" customWidth="1"/>
    <col min="3333" max="3334" width="10.375" style="152" customWidth="1"/>
    <col min="3335" max="3335" width="10" style="152" customWidth="1"/>
    <col min="3336" max="3336" width="18.75" style="152" customWidth="1"/>
    <col min="3337" max="3337" width="22.5" style="152" customWidth="1"/>
    <col min="3338" max="3338" width="21.25" style="152" customWidth="1"/>
    <col min="3339" max="3339" width="11.125" style="152" customWidth="1"/>
    <col min="3340" max="3340" width="22.375" style="152" customWidth="1"/>
    <col min="3341" max="3341" width="21.25" style="152" customWidth="1"/>
    <col min="3342" max="3342" width="11.25" style="152" customWidth="1"/>
    <col min="3343" max="3343" width="0" style="152" hidden="1" customWidth="1"/>
    <col min="3344" max="3584" width="9" style="152"/>
    <col min="3585" max="3585" width="4.5" style="152" customWidth="1"/>
    <col min="3586" max="3586" width="24.375" style="152" customWidth="1"/>
    <col min="3587" max="3587" width="28.25" style="152" customWidth="1"/>
    <col min="3588" max="3588" width="0" style="152" hidden="1" customWidth="1"/>
    <col min="3589" max="3590" width="10.375" style="152" customWidth="1"/>
    <col min="3591" max="3591" width="10" style="152" customWidth="1"/>
    <col min="3592" max="3592" width="18.75" style="152" customWidth="1"/>
    <col min="3593" max="3593" width="22.5" style="152" customWidth="1"/>
    <col min="3594" max="3594" width="21.25" style="152" customWidth="1"/>
    <col min="3595" max="3595" width="11.125" style="152" customWidth="1"/>
    <col min="3596" max="3596" width="22.375" style="152" customWidth="1"/>
    <col min="3597" max="3597" width="21.25" style="152" customWidth="1"/>
    <col min="3598" max="3598" width="11.25" style="152" customWidth="1"/>
    <col min="3599" max="3599" width="0" style="152" hidden="1" customWidth="1"/>
    <col min="3600" max="3840" width="9" style="152"/>
    <col min="3841" max="3841" width="4.5" style="152" customWidth="1"/>
    <col min="3842" max="3842" width="24.375" style="152" customWidth="1"/>
    <col min="3843" max="3843" width="28.25" style="152" customWidth="1"/>
    <col min="3844" max="3844" width="0" style="152" hidden="1" customWidth="1"/>
    <col min="3845" max="3846" width="10.375" style="152" customWidth="1"/>
    <col min="3847" max="3847" width="10" style="152" customWidth="1"/>
    <col min="3848" max="3848" width="18.75" style="152" customWidth="1"/>
    <col min="3849" max="3849" width="22.5" style="152" customWidth="1"/>
    <col min="3850" max="3850" width="21.25" style="152" customWidth="1"/>
    <col min="3851" max="3851" width="11.125" style="152" customWidth="1"/>
    <col min="3852" max="3852" width="22.375" style="152" customWidth="1"/>
    <col min="3853" max="3853" width="21.25" style="152" customWidth="1"/>
    <col min="3854" max="3854" width="11.25" style="152" customWidth="1"/>
    <col min="3855" max="3855" width="0" style="152" hidden="1" customWidth="1"/>
    <col min="3856" max="4096" width="9" style="152"/>
    <col min="4097" max="4097" width="4.5" style="152" customWidth="1"/>
    <col min="4098" max="4098" width="24.375" style="152" customWidth="1"/>
    <col min="4099" max="4099" width="28.25" style="152" customWidth="1"/>
    <col min="4100" max="4100" width="0" style="152" hidden="1" customWidth="1"/>
    <col min="4101" max="4102" width="10.375" style="152" customWidth="1"/>
    <col min="4103" max="4103" width="10" style="152" customWidth="1"/>
    <col min="4104" max="4104" width="18.75" style="152" customWidth="1"/>
    <col min="4105" max="4105" width="22.5" style="152" customWidth="1"/>
    <col min="4106" max="4106" width="21.25" style="152" customWidth="1"/>
    <col min="4107" max="4107" width="11.125" style="152" customWidth="1"/>
    <col min="4108" max="4108" width="22.375" style="152" customWidth="1"/>
    <col min="4109" max="4109" width="21.25" style="152" customWidth="1"/>
    <col min="4110" max="4110" width="11.25" style="152" customWidth="1"/>
    <col min="4111" max="4111" width="0" style="152" hidden="1" customWidth="1"/>
    <col min="4112" max="4352" width="9" style="152"/>
    <col min="4353" max="4353" width="4.5" style="152" customWidth="1"/>
    <col min="4354" max="4354" width="24.375" style="152" customWidth="1"/>
    <col min="4355" max="4355" width="28.25" style="152" customWidth="1"/>
    <col min="4356" max="4356" width="0" style="152" hidden="1" customWidth="1"/>
    <col min="4357" max="4358" width="10.375" style="152" customWidth="1"/>
    <col min="4359" max="4359" width="10" style="152" customWidth="1"/>
    <col min="4360" max="4360" width="18.75" style="152" customWidth="1"/>
    <col min="4361" max="4361" width="22.5" style="152" customWidth="1"/>
    <col min="4362" max="4362" width="21.25" style="152" customWidth="1"/>
    <col min="4363" max="4363" width="11.125" style="152" customWidth="1"/>
    <col min="4364" max="4364" width="22.375" style="152" customWidth="1"/>
    <col min="4365" max="4365" width="21.25" style="152" customWidth="1"/>
    <col min="4366" max="4366" width="11.25" style="152" customWidth="1"/>
    <col min="4367" max="4367" width="0" style="152" hidden="1" customWidth="1"/>
    <col min="4368" max="4608" width="9" style="152"/>
    <col min="4609" max="4609" width="4.5" style="152" customWidth="1"/>
    <col min="4610" max="4610" width="24.375" style="152" customWidth="1"/>
    <col min="4611" max="4611" width="28.25" style="152" customWidth="1"/>
    <col min="4612" max="4612" width="0" style="152" hidden="1" customWidth="1"/>
    <col min="4613" max="4614" width="10.375" style="152" customWidth="1"/>
    <col min="4615" max="4615" width="10" style="152" customWidth="1"/>
    <col min="4616" max="4616" width="18.75" style="152" customWidth="1"/>
    <col min="4617" max="4617" width="22.5" style="152" customWidth="1"/>
    <col min="4618" max="4618" width="21.25" style="152" customWidth="1"/>
    <col min="4619" max="4619" width="11.125" style="152" customWidth="1"/>
    <col min="4620" max="4620" width="22.375" style="152" customWidth="1"/>
    <col min="4621" max="4621" width="21.25" style="152" customWidth="1"/>
    <col min="4622" max="4622" width="11.25" style="152" customWidth="1"/>
    <col min="4623" max="4623" width="0" style="152" hidden="1" customWidth="1"/>
    <col min="4624" max="4864" width="9" style="152"/>
    <col min="4865" max="4865" width="4.5" style="152" customWidth="1"/>
    <col min="4866" max="4866" width="24.375" style="152" customWidth="1"/>
    <col min="4867" max="4867" width="28.25" style="152" customWidth="1"/>
    <col min="4868" max="4868" width="0" style="152" hidden="1" customWidth="1"/>
    <col min="4869" max="4870" width="10.375" style="152" customWidth="1"/>
    <col min="4871" max="4871" width="10" style="152" customWidth="1"/>
    <col min="4872" max="4872" width="18.75" style="152" customWidth="1"/>
    <col min="4873" max="4873" width="22.5" style="152" customWidth="1"/>
    <col min="4874" max="4874" width="21.25" style="152" customWidth="1"/>
    <col min="4875" max="4875" width="11.125" style="152" customWidth="1"/>
    <col min="4876" max="4876" width="22.375" style="152" customWidth="1"/>
    <col min="4877" max="4877" width="21.25" style="152" customWidth="1"/>
    <col min="4878" max="4878" width="11.25" style="152" customWidth="1"/>
    <col min="4879" max="4879" width="0" style="152" hidden="1" customWidth="1"/>
    <col min="4880" max="5120" width="9" style="152"/>
    <col min="5121" max="5121" width="4.5" style="152" customWidth="1"/>
    <col min="5122" max="5122" width="24.375" style="152" customWidth="1"/>
    <col min="5123" max="5123" width="28.25" style="152" customWidth="1"/>
    <col min="5124" max="5124" width="0" style="152" hidden="1" customWidth="1"/>
    <col min="5125" max="5126" width="10.375" style="152" customWidth="1"/>
    <col min="5127" max="5127" width="10" style="152" customWidth="1"/>
    <col min="5128" max="5128" width="18.75" style="152" customWidth="1"/>
    <col min="5129" max="5129" width="22.5" style="152" customWidth="1"/>
    <col min="5130" max="5130" width="21.25" style="152" customWidth="1"/>
    <col min="5131" max="5131" width="11.125" style="152" customWidth="1"/>
    <col min="5132" max="5132" width="22.375" style="152" customWidth="1"/>
    <col min="5133" max="5133" width="21.25" style="152" customWidth="1"/>
    <col min="5134" max="5134" width="11.25" style="152" customWidth="1"/>
    <col min="5135" max="5135" width="0" style="152" hidden="1" customWidth="1"/>
    <col min="5136" max="5376" width="9" style="152"/>
    <col min="5377" max="5377" width="4.5" style="152" customWidth="1"/>
    <col min="5378" max="5378" width="24.375" style="152" customWidth="1"/>
    <col min="5379" max="5379" width="28.25" style="152" customWidth="1"/>
    <col min="5380" max="5380" width="0" style="152" hidden="1" customWidth="1"/>
    <col min="5381" max="5382" width="10.375" style="152" customWidth="1"/>
    <col min="5383" max="5383" width="10" style="152" customWidth="1"/>
    <col min="5384" max="5384" width="18.75" style="152" customWidth="1"/>
    <col min="5385" max="5385" width="22.5" style="152" customWidth="1"/>
    <col min="5386" max="5386" width="21.25" style="152" customWidth="1"/>
    <col min="5387" max="5387" width="11.125" style="152" customWidth="1"/>
    <col min="5388" max="5388" width="22.375" style="152" customWidth="1"/>
    <col min="5389" max="5389" width="21.25" style="152" customWidth="1"/>
    <col min="5390" max="5390" width="11.25" style="152" customWidth="1"/>
    <col min="5391" max="5391" width="0" style="152" hidden="1" customWidth="1"/>
    <col min="5392" max="5632" width="9" style="152"/>
    <col min="5633" max="5633" width="4.5" style="152" customWidth="1"/>
    <col min="5634" max="5634" width="24.375" style="152" customWidth="1"/>
    <col min="5635" max="5635" width="28.25" style="152" customWidth="1"/>
    <col min="5636" max="5636" width="0" style="152" hidden="1" customWidth="1"/>
    <col min="5637" max="5638" width="10.375" style="152" customWidth="1"/>
    <col min="5639" max="5639" width="10" style="152" customWidth="1"/>
    <col min="5640" max="5640" width="18.75" style="152" customWidth="1"/>
    <col min="5641" max="5641" width="22.5" style="152" customWidth="1"/>
    <col min="5642" max="5642" width="21.25" style="152" customWidth="1"/>
    <col min="5643" max="5643" width="11.125" style="152" customWidth="1"/>
    <col min="5644" max="5644" width="22.375" style="152" customWidth="1"/>
    <col min="5645" max="5645" width="21.25" style="152" customWidth="1"/>
    <col min="5646" max="5646" width="11.25" style="152" customWidth="1"/>
    <col min="5647" max="5647" width="0" style="152" hidden="1" customWidth="1"/>
    <col min="5648" max="5888" width="9" style="152"/>
    <col min="5889" max="5889" width="4.5" style="152" customWidth="1"/>
    <col min="5890" max="5890" width="24.375" style="152" customWidth="1"/>
    <col min="5891" max="5891" width="28.25" style="152" customWidth="1"/>
    <col min="5892" max="5892" width="0" style="152" hidden="1" customWidth="1"/>
    <col min="5893" max="5894" width="10.375" style="152" customWidth="1"/>
    <col min="5895" max="5895" width="10" style="152" customWidth="1"/>
    <col min="5896" max="5896" width="18.75" style="152" customWidth="1"/>
    <col min="5897" max="5897" width="22.5" style="152" customWidth="1"/>
    <col min="5898" max="5898" width="21.25" style="152" customWidth="1"/>
    <col min="5899" max="5899" width="11.125" style="152" customWidth="1"/>
    <col min="5900" max="5900" width="22.375" style="152" customWidth="1"/>
    <col min="5901" max="5901" width="21.25" style="152" customWidth="1"/>
    <col min="5902" max="5902" width="11.25" style="152" customWidth="1"/>
    <col min="5903" max="5903" width="0" style="152" hidden="1" customWidth="1"/>
    <col min="5904" max="6144" width="9" style="152"/>
    <col min="6145" max="6145" width="4.5" style="152" customWidth="1"/>
    <col min="6146" max="6146" width="24.375" style="152" customWidth="1"/>
    <col min="6147" max="6147" width="28.25" style="152" customWidth="1"/>
    <col min="6148" max="6148" width="0" style="152" hidden="1" customWidth="1"/>
    <col min="6149" max="6150" width="10.375" style="152" customWidth="1"/>
    <col min="6151" max="6151" width="10" style="152" customWidth="1"/>
    <col min="6152" max="6152" width="18.75" style="152" customWidth="1"/>
    <col min="6153" max="6153" width="22.5" style="152" customWidth="1"/>
    <col min="6154" max="6154" width="21.25" style="152" customWidth="1"/>
    <col min="6155" max="6155" width="11.125" style="152" customWidth="1"/>
    <col min="6156" max="6156" width="22.375" style="152" customWidth="1"/>
    <col min="6157" max="6157" width="21.25" style="152" customWidth="1"/>
    <col min="6158" max="6158" width="11.25" style="152" customWidth="1"/>
    <col min="6159" max="6159" width="0" style="152" hidden="1" customWidth="1"/>
    <col min="6160" max="6400" width="9" style="152"/>
    <col min="6401" max="6401" width="4.5" style="152" customWidth="1"/>
    <col min="6402" max="6402" width="24.375" style="152" customWidth="1"/>
    <col min="6403" max="6403" width="28.25" style="152" customWidth="1"/>
    <col min="6404" max="6404" width="0" style="152" hidden="1" customWidth="1"/>
    <col min="6405" max="6406" width="10.375" style="152" customWidth="1"/>
    <col min="6407" max="6407" width="10" style="152" customWidth="1"/>
    <col min="6408" max="6408" width="18.75" style="152" customWidth="1"/>
    <col min="6409" max="6409" width="22.5" style="152" customWidth="1"/>
    <col min="6410" max="6410" width="21.25" style="152" customWidth="1"/>
    <col min="6411" max="6411" width="11.125" style="152" customWidth="1"/>
    <col min="6412" max="6412" width="22.375" style="152" customWidth="1"/>
    <col min="6413" max="6413" width="21.25" style="152" customWidth="1"/>
    <col min="6414" max="6414" width="11.25" style="152" customWidth="1"/>
    <col min="6415" max="6415" width="0" style="152" hidden="1" customWidth="1"/>
    <col min="6416" max="6656" width="9" style="152"/>
    <col min="6657" max="6657" width="4.5" style="152" customWidth="1"/>
    <col min="6658" max="6658" width="24.375" style="152" customWidth="1"/>
    <col min="6659" max="6659" width="28.25" style="152" customWidth="1"/>
    <col min="6660" max="6660" width="0" style="152" hidden="1" customWidth="1"/>
    <col min="6661" max="6662" width="10.375" style="152" customWidth="1"/>
    <col min="6663" max="6663" width="10" style="152" customWidth="1"/>
    <col min="6664" max="6664" width="18.75" style="152" customWidth="1"/>
    <col min="6665" max="6665" width="22.5" style="152" customWidth="1"/>
    <col min="6666" max="6666" width="21.25" style="152" customWidth="1"/>
    <col min="6667" max="6667" width="11.125" style="152" customWidth="1"/>
    <col min="6668" max="6668" width="22.375" style="152" customWidth="1"/>
    <col min="6669" max="6669" width="21.25" style="152" customWidth="1"/>
    <col min="6670" max="6670" width="11.25" style="152" customWidth="1"/>
    <col min="6671" max="6671" width="0" style="152" hidden="1" customWidth="1"/>
    <col min="6672" max="6912" width="9" style="152"/>
    <col min="6913" max="6913" width="4.5" style="152" customWidth="1"/>
    <col min="6914" max="6914" width="24.375" style="152" customWidth="1"/>
    <col min="6915" max="6915" width="28.25" style="152" customWidth="1"/>
    <col min="6916" max="6916" width="0" style="152" hidden="1" customWidth="1"/>
    <col min="6917" max="6918" width="10.375" style="152" customWidth="1"/>
    <col min="6919" max="6919" width="10" style="152" customWidth="1"/>
    <col min="6920" max="6920" width="18.75" style="152" customWidth="1"/>
    <col min="6921" max="6921" width="22.5" style="152" customWidth="1"/>
    <col min="6922" max="6922" width="21.25" style="152" customWidth="1"/>
    <col min="6923" max="6923" width="11.125" style="152" customWidth="1"/>
    <col min="6924" max="6924" width="22.375" style="152" customWidth="1"/>
    <col min="6925" max="6925" width="21.25" style="152" customWidth="1"/>
    <col min="6926" max="6926" width="11.25" style="152" customWidth="1"/>
    <col min="6927" max="6927" width="0" style="152" hidden="1" customWidth="1"/>
    <col min="6928" max="7168" width="9" style="152"/>
    <col min="7169" max="7169" width="4.5" style="152" customWidth="1"/>
    <col min="7170" max="7170" width="24.375" style="152" customWidth="1"/>
    <col min="7171" max="7171" width="28.25" style="152" customWidth="1"/>
    <col min="7172" max="7172" width="0" style="152" hidden="1" customWidth="1"/>
    <col min="7173" max="7174" width="10.375" style="152" customWidth="1"/>
    <col min="7175" max="7175" width="10" style="152" customWidth="1"/>
    <col min="7176" max="7176" width="18.75" style="152" customWidth="1"/>
    <col min="7177" max="7177" width="22.5" style="152" customWidth="1"/>
    <col min="7178" max="7178" width="21.25" style="152" customWidth="1"/>
    <col min="7179" max="7179" width="11.125" style="152" customWidth="1"/>
    <col min="7180" max="7180" width="22.375" style="152" customWidth="1"/>
    <col min="7181" max="7181" width="21.25" style="152" customWidth="1"/>
    <col min="7182" max="7182" width="11.25" style="152" customWidth="1"/>
    <col min="7183" max="7183" width="0" style="152" hidden="1" customWidth="1"/>
    <col min="7184" max="7424" width="9" style="152"/>
    <col min="7425" max="7425" width="4.5" style="152" customWidth="1"/>
    <col min="7426" max="7426" width="24.375" style="152" customWidth="1"/>
    <col min="7427" max="7427" width="28.25" style="152" customWidth="1"/>
    <col min="7428" max="7428" width="0" style="152" hidden="1" customWidth="1"/>
    <col min="7429" max="7430" width="10.375" style="152" customWidth="1"/>
    <col min="7431" max="7431" width="10" style="152" customWidth="1"/>
    <col min="7432" max="7432" width="18.75" style="152" customWidth="1"/>
    <col min="7433" max="7433" width="22.5" style="152" customWidth="1"/>
    <col min="7434" max="7434" width="21.25" style="152" customWidth="1"/>
    <col min="7435" max="7435" width="11.125" style="152" customWidth="1"/>
    <col min="7436" max="7436" width="22.375" style="152" customWidth="1"/>
    <col min="7437" max="7437" width="21.25" style="152" customWidth="1"/>
    <col min="7438" max="7438" width="11.25" style="152" customWidth="1"/>
    <col min="7439" max="7439" width="0" style="152" hidden="1" customWidth="1"/>
    <col min="7440" max="7680" width="9" style="152"/>
    <col min="7681" max="7681" width="4.5" style="152" customWidth="1"/>
    <col min="7682" max="7682" width="24.375" style="152" customWidth="1"/>
    <col min="7683" max="7683" width="28.25" style="152" customWidth="1"/>
    <col min="7684" max="7684" width="0" style="152" hidden="1" customWidth="1"/>
    <col min="7685" max="7686" width="10.375" style="152" customWidth="1"/>
    <col min="7687" max="7687" width="10" style="152" customWidth="1"/>
    <col min="7688" max="7688" width="18.75" style="152" customWidth="1"/>
    <col min="7689" max="7689" width="22.5" style="152" customWidth="1"/>
    <col min="7690" max="7690" width="21.25" style="152" customWidth="1"/>
    <col min="7691" max="7691" width="11.125" style="152" customWidth="1"/>
    <col min="7692" max="7692" width="22.375" style="152" customWidth="1"/>
    <col min="7693" max="7693" width="21.25" style="152" customWidth="1"/>
    <col min="7694" max="7694" width="11.25" style="152" customWidth="1"/>
    <col min="7695" max="7695" width="0" style="152" hidden="1" customWidth="1"/>
    <col min="7696" max="7936" width="9" style="152"/>
    <col min="7937" max="7937" width="4.5" style="152" customWidth="1"/>
    <col min="7938" max="7938" width="24.375" style="152" customWidth="1"/>
    <col min="7939" max="7939" width="28.25" style="152" customWidth="1"/>
    <col min="7940" max="7940" width="0" style="152" hidden="1" customWidth="1"/>
    <col min="7941" max="7942" width="10.375" style="152" customWidth="1"/>
    <col min="7943" max="7943" width="10" style="152" customWidth="1"/>
    <col min="7944" max="7944" width="18.75" style="152" customWidth="1"/>
    <col min="7945" max="7945" width="22.5" style="152" customWidth="1"/>
    <col min="7946" max="7946" width="21.25" style="152" customWidth="1"/>
    <col min="7947" max="7947" width="11.125" style="152" customWidth="1"/>
    <col min="7948" max="7948" width="22.375" style="152" customWidth="1"/>
    <col min="7949" max="7949" width="21.25" style="152" customWidth="1"/>
    <col min="7950" max="7950" width="11.25" style="152" customWidth="1"/>
    <col min="7951" max="7951" width="0" style="152" hidden="1" customWidth="1"/>
    <col min="7952" max="8192" width="9" style="152"/>
    <col min="8193" max="8193" width="4.5" style="152" customWidth="1"/>
    <col min="8194" max="8194" width="24.375" style="152" customWidth="1"/>
    <col min="8195" max="8195" width="28.25" style="152" customWidth="1"/>
    <col min="8196" max="8196" width="0" style="152" hidden="1" customWidth="1"/>
    <col min="8197" max="8198" width="10.375" style="152" customWidth="1"/>
    <col min="8199" max="8199" width="10" style="152" customWidth="1"/>
    <col min="8200" max="8200" width="18.75" style="152" customWidth="1"/>
    <col min="8201" max="8201" width="22.5" style="152" customWidth="1"/>
    <col min="8202" max="8202" width="21.25" style="152" customWidth="1"/>
    <col min="8203" max="8203" width="11.125" style="152" customWidth="1"/>
    <col min="8204" max="8204" width="22.375" style="152" customWidth="1"/>
    <col min="8205" max="8205" width="21.25" style="152" customWidth="1"/>
    <col min="8206" max="8206" width="11.25" style="152" customWidth="1"/>
    <col min="8207" max="8207" width="0" style="152" hidden="1" customWidth="1"/>
    <col min="8208" max="8448" width="9" style="152"/>
    <col min="8449" max="8449" width="4.5" style="152" customWidth="1"/>
    <col min="8450" max="8450" width="24.375" style="152" customWidth="1"/>
    <col min="8451" max="8451" width="28.25" style="152" customWidth="1"/>
    <col min="8452" max="8452" width="0" style="152" hidden="1" customWidth="1"/>
    <col min="8453" max="8454" width="10.375" style="152" customWidth="1"/>
    <col min="8455" max="8455" width="10" style="152" customWidth="1"/>
    <col min="8456" max="8456" width="18.75" style="152" customWidth="1"/>
    <col min="8457" max="8457" width="22.5" style="152" customWidth="1"/>
    <col min="8458" max="8458" width="21.25" style="152" customWidth="1"/>
    <col min="8459" max="8459" width="11.125" style="152" customWidth="1"/>
    <col min="8460" max="8460" width="22.375" style="152" customWidth="1"/>
    <col min="8461" max="8461" width="21.25" style="152" customWidth="1"/>
    <col min="8462" max="8462" width="11.25" style="152" customWidth="1"/>
    <col min="8463" max="8463" width="0" style="152" hidden="1" customWidth="1"/>
    <col min="8464" max="8704" width="9" style="152"/>
    <col min="8705" max="8705" width="4.5" style="152" customWidth="1"/>
    <col min="8706" max="8706" width="24.375" style="152" customWidth="1"/>
    <col min="8707" max="8707" width="28.25" style="152" customWidth="1"/>
    <col min="8708" max="8708" width="0" style="152" hidden="1" customWidth="1"/>
    <col min="8709" max="8710" width="10.375" style="152" customWidth="1"/>
    <col min="8711" max="8711" width="10" style="152" customWidth="1"/>
    <col min="8712" max="8712" width="18.75" style="152" customWidth="1"/>
    <col min="8713" max="8713" width="22.5" style="152" customWidth="1"/>
    <col min="8714" max="8714" width="21.25" style="152" customWidth="1"/>
    <col min="8715" max="8715" width="11.125" style="152" customWidth="1"/>
    <col min="8716" max="8716" width="22.375" style="152" customWidth="1"/>
    <col min="8717" max="8717" width="21.25" style="152" customWidth="1"/>
    <col min="8718" max="8718" width="11.25" style="152" customWidth="1"/>
    <col min="8719" max="8719" width="0" style="152" hidden="1" customWidth="1"/>
    <col min="8720" max="8960" width="9" style="152"/>
    <col min="8961" max="8961" width="4.5" style="152" customWidth="1"/>
    <col min="8962" max="8962" width="24.375" style="152" customWidth="1"/>
    <col min="8963" max="8963" width="28.25" style="152" customWidth="1"/>
    <col min="8964" max="8964" width="0" style="152" hidden="1" customWidth="1"/>
    <col min="8965" max="8966" width="10.375" style="152" customWidth="1"/>
    <col min="8967" max="8967" width="10" style="152" customWidth="1"/>
    <col min="8968" max="8968" width="18.75" style="152" customWidth="1"/>
    <col min="8969" max="8969" width="22.5" style="152" customWidth="1"/>
    <col min="8970" max="8970" width="21.25" style="152" customWidth="1"/>
    <col min="8971" max="8971" width="11.125" style="152" customWidth="1"/>
    <col min="8972" max="8972" width="22.375" style="152" customWidth="1"/>
    <col min="8973" max="8973" width="21.25" style="152" customWidth="1"/>
    <col min="8974" max="8974" width="11.25" style="152" customWidth="1"/>
    <col min="8975" max="8975" width="0" style="152" hidden="1" customWidth="1"/>
    <col min="8976" max="9216" width="9" style="152"/>
    <col min="9217" max="9217" width="4.5" style="152" customWidth="1"/>
    <col min="9218" max="9218" width="24.375" style="152" customWidth="1"/>
    <col min="9219" max="9219" width="28.25" style="152" customWidth="1"/>
    <col min="9220" max="9220" width="0" style="152" hidden="1" customWidth="1"/>
    <col min="9221" max="9222" width="10.375" style="152" customWidth="1"/>
    <col min="9223" max="9223" width="10" style="152" customWidth="1"/>
    <col min="9224" max="9224" width="18.75" style="152" customWidth="1"/>
    <col min="9225" max="9225" width="22.5" style="152" customWidth="1"/>
    <col min="9226" max="9226" width="21.25" style="152" customWidth="1"/>
    <col min="9227" max="9227" width="11.125" style="152" customWidth="1"/>
    <col min="9228" max="9228" width="22.375" style="152" customWidth="1"/>
    <col min="9229" max="9229" width="21.25" style="152" customWidth="1"/>
    <col min="9230" max="9230" width="11.25" style="152" customWidth="1"/>
    <col min="9231" max="9231" width="0" style="152" hidden="1" customWidth="1"/>
    <col min="9232" max="9472" width="9" style="152"/>
    <col min="9473" max="9473" width="4.5" style="152" customWidth="1"/>
    <col min="9474" max="9474" width="24.375" style="152" customWidth="1"/>
    <col min="9475" max="9475" width="28.25" style="152" customWidth="1"/>
    <col min="9476" max="9476" width="0" style="152" hidden="1" customWidth="1"/>
    <col min="9477" max="9478" width="10.375" style="152" customWidth="1"/>
    <col min="9479" max="9479" width="10" style="152" customWidth="1"/>
    <col min="9480" max="9480" width="18.75" style="152" customWidth="1"/>
    <col min="9481" max="9481" width="22.5" style="152" customWidth="1"/>
    <col min="9482" max="9482" width="21.25" style="152" customWidth="1"/>
    <col min="9483" max="9483" width="11.125" style="152" customWidth="1"/>
    <col min="9484" max="9484" width="22.375" style="152" customWidth="1"/>
    <col min="9485" max="9485" width="21.25" style="152" customWidth="1"/>
    <col min="9486" max="9486" width="11.25" style="152" customWidth="1"/>
    <col min="9487" max="9487" width="0" style="152" hidden="1" customWidth="1"/>
    <col min="9488" max="9728" width="9" style="152"/>
    <col min="9729" max="9729" width="4.5" style="152" customWidth="1"/>
    <col min="9730" max="9730" width="24.375" style="152" customWidth="1"/>
    <col min="9731" max="9731" width="28.25" style="152" customWidth="1"/>
    <col min="9732" max="9732" width="0" style="152" hidden="1" customWidth="1"/>
    <col min="9733" max="9734" width="10.375" style="152" customWidth="1"/>
    <col min="9735" max="9735" width="10" style="152" customWidth="1"/>
    <col min="9736" max="9736" width="18.75" style="152" customWidth="1"/>
    <col min="9737" max="9737" width="22.5" style="152" customWidth="1"/>
    <col min="9738" max="9738" width="21.25" style="152" customWidth="1"/>
    <col min="9739" max="9739" width="11.125" style="152" customWidth="1"/>
    <col min="9740" max="9740" width="22.375" style="152" customWidth="1"/>
    <col min="9741" max="9741" width="21.25" style="152" customWidth="1"/>
    <col min="9742" max="9742" width="11.25" style="152" customWidth="1"/>
    <col min="9743" max="9743" width="0" style="152" hidden="1" customWidth="1"/>
    <col min="9744" max="9984" width="9" style="152"/>
    <col min="9985" max="9985" width="4.5" style="152" customWidth="1"/>
    <col min="9986" max="9986" width="24.375" style="152" customWidth="1"/>
    <col min="9987" max="9987" width="28.25" style="152" customWidth="1"/>
    <col min="9988" max="9988" width="0" style="152" hidden="1" customWidth="1"/>
    <col min="9989" max="9990" width="10.375" style="152" customWidth="1"/>
    <col min="9991" max="9991" width="10" style="152" customWidth="1"/>
    <col min="9992" max="9992" width="18.75" style="152" customWidth="1"/>
    <col min="9993" max="9993" width="22.5" style="152" customWidth="1"/>
    <col min="9994" max="9994" width="21.25" style="152" customWidth="1"/>
    <col min="9995" max="9995" width="11.125" style="152" customWidth="1"/>
    <col min="9996" max="9996" width="22.375" style="152" customWidth="1"/>
    <col min="9997" max="9997" width="21.25" style="152" customWidth="1"/>
    <col min="9998" max="9998" width="11.25" style="152" customWidth="1"/>
    <col min="9999" max="9999" width="0" style="152" hidden="1" customWidth="1"/>
    <col min="10000" max="10240" width="9" style="152"/>
    <col min="10241" max="10241" width="4.5" style="152" customWidth="1"/>
    <col min="10242" max="10242" width="24.375" style="152" customWidth="1"/>
    <col min="10243" max="10243" width="28.25" style="152" customWidth="1"/>
    <col min="10244" max="10244" width="0" style="152" hidden="1" customWidth="1"/>
    <col min="10245" max="10246" width="10.375" style="152" customWidth="1"/>
    <col min="10247" max="10247" width="10" style="152" customWidth="1"/>
    <col min="10248" max="10248" width="18.75" style="152" customWidth="1"/>
    <col min="10249" max="10249" width="22.5" style="152" customWidth="1"/>
    <col min="10250" max="10250" width="21.25" style="152" customWidth="1"/>
    <col min="10251" max="10251" width="11.125" style="152" customWidth="1"/>
    <col min="10252" max="10252" width="22.375" style="152" customWidth="1"/>
    <col min="10253" max="10253" width="21.25" style="152" customWidth="1"/>
    <col min="10254" max="10254" width="11.25" style="152" customWidth="1"/>
    <col min="10255" max="10255" width="0" style="152" hidden="1" customWidth="1"/>
    <col min="10256" max="10496" width="9" style="152"/>
    <col min="10497" max="10497" width="4.5" style="152" customWidth="1"/>
    <col min="10498" max="10498" width="24.375" style="152" customWidth="1"/>
    <col min="10499" max="10499" width="28.25" style="152" customWidth="1"/>
    <col min="10500" max="10500" width="0" style="152" hidden="1" customWidth="1"/>
    <col min="10501" max="10502" width="10.375" style="152" customWidth="1"/>
    <col min="10503" max="10503" width="10" style="152" customWidth="1"/>
    <col min="10504" max="10504" width="18.75" style="152" customWidth="1"/>
    <col min="10505" max="10505" width="22.5" style="152" customWidth="1"/>
    <col min="10506" max="10506" width="21.25" style="152" customWidth="1"/>
    <col min="10507" max="10507" width="11.125" style="152" customWidth="1"/>
    <col min="10508" max="10508" width="22.375" style="152" customWidth="1"/>
    <col min="10509" max="10509" width="21.25" style="152" customWidth="1"/>
    <col min="10510" max="10510" width="11.25" style="152" customWidth="1"/>
    <col min="10511" max="10511" width="0" style="152" hidden="1" customWidth="1"/>
    <col min="10512" max="10752" width="9" style="152"/>
    <col min="10753" max="10753" width="4.5" style="152" customWidth="1"/>
    <col min="10754" max="10754" width="24.375" style="152" customWidth="1"/>
    <col min="10755" max="10755" width="28.25" style="152" customWidth="1"/>
    <col min="10756" max="10756" width="0" style="152" hidden="1" customWidth="1"/>
    <col min="10757" max="10758" width="10.375" style="152" customWidth="1"/>
    <col min="10759" max="10759" width="10" style="152" customWidth="1"/>
    <col min="10760" max="10760" width="18.75" style="152" customWidth="1"/>
    <col min="10761" max="10761" width="22.5" style="152" customWidth="1"/>
    <col min="10762" max="10762" width="21.25" style="152" customWidth="1"/>
    <col min="10763" max="10763" width="11.125" style="152" customWidth="1"/>
    <col min="10764" max="10764" width="22.375" style="152" customWidth="1"/>
    <col min="10765" max="10765" width="21.25" style="152" customWidth="1"/>
    <col min="10766" max="10766" width="11.25" style="152" customWidth="1"/>
    <col min="10767" max="10767" width="0" style="152" hidden="1" customWidth="1"/>
    <col min="10768" max="11008" width="9" style="152"/>
    <col min="11009" max="11009" width="4.5" style="152" customWidth="1"/>
    <col min="11010" max="11010" width="24.375" style="152" customWidth="1"/>
    <col min="11011" max="11011" width="28.25" style="152" customWidth="1"/>
    <col min="11012" max="11012" width="0" style="152" hidden="1" customWidth="1"/>
    <col min="11013" max="11014" width="10.375" style="152" customWidth="1"/>
    <col min="11015" max="11015" width="10" style="152" customWidth="1"/>
    <col min="11016" max="11016" width="18.75" style="152" customWidth="1"/>
    <col min="11017" max="11017" width="22.5" style="152" customWidth="1"/>
    <col min="11018" max="11018" width="21.25" style="152" customWidth="1"/>
    <col min="11019" max="11019" width="11.125" style="152" customWidth="1"/>
    <col min="11020" max="11020" width="22.375" style="152" customWidth="1"/>
    <col min="11021" max="11021" width="21.25" style="152" customWidth="1"/>
    <col min="11022" max="11022" width="11.25" style="152" customWidth="1"/>
    <col min="11023" max="11023" width="0" style="152" hidden="1" customWidth="1"/>
    <col min="11024" max="11264" width="9" style="152"/>
    <col min="11265" max="11265" width="4.5" style="152" customWidth="1"/>
    <col min="11266" max="11266" width="24.375" style="152" customWidth="1"/>
    <col min="11267" max="11267" width="28.25" style="152" customWidth="1"/>
    <col min="11268" max="11268" width="0" style="152" hidden="1" customWidth="1"/>
    <col min="11269" max="11270" width="10.375" style="152" customWidth="1"/>
    <col min="11271" max="11271" width="10" style="152" customWidth="1"/>
    <col min="11272" max="11272" width="18.75" style="152" customWidth="1"/>
    <col min="11273" max="11273" width="22.5" style="152" customWidth="1"/>
    <col min="11274" max="11274" width="21.25" style="152" customWidth="1"/>
    <col min="11275" max="11275" width="11.125" style="152" customWidth="1"/>
    <col min="11276" max="11276" width="22.375" style="152" customWidth="1"/>
    <col min="11277" max="11277" width="21.25" style="152" customWidth="1"/>
    <col min="11278" max="11278" width="11.25" style="152" customWidth="1"/>
    <col min="11279" max="11279" width="0" style="152" hidden="1" customWidth="1"/>
    <col min="11280" max="11520" width="9" style="152"/>
    <col min="11521" max="11521" width="4.5" style="152" customWidth="1"/>
    <col min="11522" max="11522" width="24.375" style="152" customWidth="1"/>
    <col min="11523" max="11523" width="28.25" style="152" customWidth="1"/>
    <col min="11524" max="11524" width="0" style="152" hidden="1" customWidth="1"/>
    <col min="11525" max="11526" width="10.375" style="152" customWidth="1"/>
    <col min="11527" max="11527" width="10" style="152" customWidth="1"/>
    <col min="11528" max="11528" width="18.75" style="152" customWidth="1"/>
    <col min="11529" max="11529" width="22.5" style="152" customWidth="1"/>
    <col min="11530" max="11530" width="21.25" style="152" customWidth="1"/>
    <col min="11531" max="11531" width="11.125" style="152" customWidth="1"/>
    <col min="11532" max="11532" width="22.375" style="152" customWidth="1"/>
    <col min="11533" max="11533" width="21.25" style="152" customWidth="1"/>
    <col min="11534" max="11534" width="11.25" style="152" customWidth="1"/>
    <col min="11535" max="11535" width="0" style="152" hidden="1" customWidth="1"/>
    <col min="11536" max="11776" width="9" style="152"/>
    <col min="11777" max="11777" width="4.5" style="152" customWidth="1"/>
    <col min="11778" max="11778" width="24.375" style="152" customWidth="1"/>
    <col min="11779" max="11779" width="28.25" style="152" customWidth="1"/>
    <col min="11780" max="11780" width="0" style="152" hidden="1" customWidth="1"/>
    <col min="11781" max="11782" width="10.375" style="152" customWidth="1"/>
    <col min="11783" max="11783" width="10" style="152" customWidth="1"/>
    <col min="11784" max="11784" width="18.75" style="152" customWidth="1"/>
    <col min="11785" max="11785" width="22.5" style="152" customWidth="1"/>
    <col min="11786" max="11786" width="21.25" style="152" customWidth="1"/>
    <col min="11787" max="11787" width="11.125" style="152" customWidth="1"/>
    <col min="11788" max="11788" width="22.375" style="152" customWidth="1"/>
    <col min="11789" max="11789" width="21.25" style="152" customWidth="1"/>
    <col min="11790" max="11790" width="11.25" style="152" customWidth="1"/>
    <col min="11791" max="11791" width="0" style="152" hidden="1" customWidth="1"/>
    <col min="11792" max="12032" width="9" style="152"/>
    <col min="12033" max="12033" width="4.5" style="152" customWidth="1"/>
    <col min="12034" max="12034" width="24.375" style="152" customWidth="1"/>
    <col min="12035" max="12035" width="28.25" style="152" customWidth="1"/>
    <col min="12036" max="12036" width="0" style="152" hidden="1" customWidth="1"/>
    <col min="12037" max="12038" width="10.375" style="152" customWidth="1"/>
    <col min="12039" max="12039" width="10" style="152" customWidth="1"/>
    <col min="12040" max="12040" width="18.75" style="152" customWidth="1"/>
    <col min="12041" max="12041" width="22.5" style="152" customWidth="1"/>
    <col min="12042" max="12042" width="21.25" style="152" customWidth="1"/>
    <col min="12043" max="12043" width="11.125" style="152" customWidth="1"/>
    <col min="12044" max="12044" width="22.375" style="152" customWidth="1"/>
    <col min="12045" max="12045" width="21.25" style="152" customWidth="1"/>
    <col min="12046" max="12046" width="11.25" style="152" customWidth="1"/>
    <col min="12047" max="12047" width="0" style="152" hidden="1" customWidth="1"/>
    <col min="12048" max="12288" width="9" style="152"/>
    <col min="12289" max="12289" width="4.5" style="152" customWidth="1"/>
    <col min="12290" max="12290" width="24.375" style="152" customWidth="1"/>
    <col min="12291" max="12291" width="28.25" style="152" customWidth="1"/>
    <col min="12292" max="12292" width="0" style="152" hidden="1" customWidth="1"/>
    <col min="12293" max="12294" width="10.375" style="152" customWidth="1"/>
    <col min="12295" max="12295" width="10" style="152" customWidth="1"/>
    <col min="12296" max="12296" width="18.75" style="152" customWidth="1"/>
    <col min="12297" max="12297" width="22.5" style="152" customWidth="1"/>
    <col min="12298" max="12298" width="21.25" style="152" customWidth="1"/>
    <col min="12299" max="12299" width="11.125" style="152" customWidth="1"/>
    <col min="12300" max="12300" width="22.375" style="152" customWidth="1"/>
    <col min="12301" max="12301" width="21.25" style="152" customWidth="1"/>
    <col min="12302" max="12302" width="11.25" style="152" customWidth="1"/>
    <col min="12303" max="12303" width="0" style="152" hidden="1" customWidth="1"/>
    <col min="12304" max="12544" width="9" style="152"/>
    <col min="12545" max="12545" width="4.5" style="152" customWidth="1"/>
    <col min="12546" max="12546" width="24.375" style="152" customWidth="1"/>
    <col min="12547" max="12547" width="28.25" style="152" customWidth="1"/>
    <col min="12548" max="12548" width="0" style="152" hidden="1" customWidth="1"/>
    <col min="12549" max="12550" width="10.375" style="152" customWidth="1"/>
    <col min="12551" max="12551" width="10" style="152" customWidth="1"/>
    <col min="12552" max="12552" width="18.75" style="152" customWidth="1"/>
    <col min="12553" max="12553" width="22.5" style="152" customWidth="1"/>
    <col min="12554" max="12554" width="21.25" style="152" customWidth="1"/>
    <col min="12555" max="12555" width="11.125" style="152" customWidth="1"/>
    <col min="12556" max="12556" width="22.375" style="152" customWidth="1"/>
    <col min="12557" max="12557" width="21.25" style="152" customWidth="1"/>
    <col min="12558" max="12558" width="11.25" style="152" customWidth="1"/>
    <col min="12559" max="12559" width="0" style="152" hidden="1" customWidth="1"/>
    <col min="12560" max="12800" width="9" style="152"/>
    <col min="12801" max="12801" width="4.5" style="152" customWidth="1"/>
    <col min="12802" max="12802" width="24.375" style="152" customWidth="1"/>
    <col min="12803" max="12803" width="28.25" style="152" customWidth="1"/>
    <col min="12804" max="12804" width="0" style="152" hidden="1" customWidth="1"/>
    <col min="12805" max="12806" width="10.375" style="152" customWidth="1"/>
    <col min="12807" max="12807" width="10" style="152" customWidth="1"/>
    <col min="12808" max="12808" width="18.75" style="152" customWidth="1"/>
    <col min="12809" max="12809" width="22.5" style="152" customWidth="1"/>
    <col min="12810" max="12810" width="21.25" style="152" customWidth="1"/>
    <col min="12811" max="12811" width="11.125" style="152" customWidth="1"/>
    <col min="12812" max="12812" width="22.375" style="152" customWidth="1"/>
    <col min="12813" max="12813" width="21.25" style="152" customWidth="1"/>
    <col min="12814" max="12814" width="11.25" style="152" customWidth="1"/>
    <col min="12815" max="12815" width="0" style="152" hidden="1" customWidth="1"/>
    <col min="12816" max="13056" width="9" style="152"/>
    <col min="13057" max="13057" width="4.5" style="152" customWidth="1"/>
    <col min="13058" max="13058" width="24.375" style="152" customWidth="1"/>
    <col min="13059" max="13059" width="28.25" style="152" customWidth="1"/>
    <col min="13060" max="13060" width="0" style="152" hidden="1" customWidth="1"/>
    <col min="13061" max="13062" width="10.375" style="152" customWidth="1"/>
    <col min="13063" max="13063" width="10" style="152" customWidth="1"/>
    <col min="13064" max="13064" width="18.75" style="152" customWidth="1"/>
    <col min="13065" max="13065" width="22.5" style="152" customWidth="1"/>
    <col min="13066" max="13066" width="21.25" style="152" customWidth="1"/>
    <col min="13067" max="13067" width="11.125" style="152" customWidth="1"/>
    <col min="13068" max="13068" width="22.375" style="152" customWidth="1"/>
    <col min="13069" max="13069" width="21.25" style="152" customWidth="1"/>
    <col min="13070" max="13070" width="11.25" style="152" customWidth="1"/>
    <col min="13071" max="13071" width="0" style="152" hidden="1" customWidth="1"/>
    <col min="13072" max="13312" width="9" style="152"/>
    <col min="13313" max="13313" width="4.5" style="152" customWidth="1"/>
    <col min="13314" max="13314" width="24.375" style="152" customWidth="1"/>
    <col min="13315" max="13315" width="28.25" style="152" customWidth="1"/>
    <col min="13316" max="13316" width="0" style="152" hidden="1" customWidth="1"/>
    <col min="13317" max="13318" width="10.375" style="152" customWidth="1"/>
    <col min="13319" max="13319" width="10" style="152" customWidth="1"/>
    <col min="13320" max="13320" width="18.75" style="152" customWidth="1"/>
    <col min="13321" max="13321" width="22.5" style="152" customWidth="1"/>
    <col min="13322" max="13322" width="21.25" style="152" customWidth="1"/>
    <col min="13323" max="13323" width="11.125" style="152" customWidth="1"/>
    <col min="13324" max="13324" width="22.375" style="152" customWidth="1"/>
    <col min="13325" max="13325" width="21.25" style="152" customWidth="1"/>
    <col min="13326" max="13326" width="11.25" style="152" customWidth="1"/>
    <col min="13327" max="13327" width="0" style="152" hidden="1" customWidth="1"/>
    <col min="13328" max="13568" width="9" style="152"/>
    <col min="13569" max="13569" width="4.5" style="152" customWidth="1"/>
    <col min="13570" max="13570" width="24.375" style="152" customWidth="1"/>
    <col min="13571" max="13571" width="28.25" style="152" customWidth="1"/>
    <col min="13572" max="13572" width="0" style="152" hidden="1" customWidth="1"/>
    <col min="13573" max="13574" width="10.375" style="152" customWidth="1"/>
    <col min="13575" max="13575" width="10" style="152" customWidth="1"/>
    <col min="13576" max="13576" width="18.75" style="152" customWidth="1"/>
    <col min="13577" max="13577" width="22.5" style="152" customWidth="1"/>
    <col min="13578" max="13578" width="21.25" style="152" customWidth="1"/>
    <col min="13579" max="13579" width="11.125" style="152" customWidth="1"/>
    <col min="13580" max="13580" width="22.375" style="152" customWidth="1"/>
    <col min="13581" max="13581" width="21.25" style="152" customWidth="1"/>
    <col min="13582" max="13582" width="11.25" style="152" customWidth="1"/>
    <col min="13583" max="13583" width="0" style="152" hidden="1" customWidth="1"/>
    <col min="13584" max="13824" width="9" style="152"/>
    <col min="13825" max="13825" width="4.5" style="152" customWidth="1"/>
    <col min="13826" max="13826" width="24.375" style="152" customWidth="1"/>
    <col min="13827" max="13827" width="28.25" style="152" customWidth="1"/>
    <col min="13828" max="13828" width="0" style="152" hidden="1" customWidth="1"/>
    <col min="13829" max="13830" width="10.375" style="152" customWidth="1"/>
    <col min="13831" max="13831" width="10" style="152" customWidth="1"/>
    <col min="13832" max="13832" width="18.75" style="152" customWidth="1"/>
    <col min="13833" max="13833" width="22.5" style="152" customWidth="1"/>
    <col min="13834" max="13834" width="21.25" style="152" customWidth="1"/>
    <col min="13835" max="13835" width="11.125" style="152" customWidth="1"/>
    <col min="13836" max="13836" width="22.375" style="152" customWidth="1"/>
    <col min="13837" max="13837" width="21.25" style="152" customWidth="1"/>
    <col min="13838" max="13838" width="11.25" style="152" customWidth="1"/>
    <col min="13839" max="13839" width="0" style="152" hidden="1" customWidth="1"/>
    <col min="13840" max="14080" width="9" style="152"/>
    <col min="14081" max="14081" width="4.5" style="152" customWidth="1"/>
    <col min="14082" max="14082" width="24.375" style="152" customWidth="1"/>
    <col min="14083" max="14083" width="28.25" style="152" customWidth="1"/>
    <col min="14084" max="14084" width="0" style="152" hidden="1" customWidth="1"/>
    <col min="14085" max="14086" width="10.375" style="152" customWidth="1"/>
    <col min="14087" max="14087" width="10" style="152" customWidth="1"/>
    <col min="14088" max="14088" width="18.75" style="152" customWidth="1"/>
    <col min="14089" max="14089" width="22.5" style="152" customWidth="1"/>
    <col min="14090" max="14090" width="21.25" style="152" customWidth="1"/>
    <col min="14091" max="14091" width="11.125" style="152" customWidth="1"/>
    <col min="14092" max="14092" width="22.375" style="152" customWidth="1"/>
    <col min="14093" max="14093" width="21.25" style="152" customWidth="1"/>
    <col min="14094" max="14094" width="11.25" style="152" customWidth="1"/>
    <col min="14095" max="14095" width="0" style="152" hidden="1" customWidth="1"/>
    <col min="14096" max="14336" width="9" style="152"/>
    <col min="14337" max="14337" width="4.5" style="152" customWidth="1"/>
    <col min="14338" max="14338" width="24.375" style="152" customWidth="1"/>
    <col min="14339" max="14339" width="28.25" style="152" customWidth="1"/>
    <col min="14340" max="14340" width="0" style="152" hidden="1" customWidth="1"/>
    <col min="14341" max="14342" width="10.375" style="152" customWidth="1"/>
    <col min="14343" max="14343" width="10" style="152" customWidth="1"/>
    <col min="14344" max="14344" width="18.75" style="152" customWidth="1"/>
    <col min="14345" max="14345" width="22.5" style="152" customWidth="1"/>
    <col min="14346" max="14346" width="21.25" style="152" customWidth="1"/>
    <col min="14347" max="14347" width="11.125" style="152" customWidth="1"/>
    <col min="14348" max="14348" width="22.375" style="152" customWidth="1"/>
    <col min="14349" max="14349" width="21.25" style="152" customWidth="1"/>
    <col min="14350" max="14350" width="11.25" style="152" customWidth="1"/>
    <col min="14351" max="14351" width="0" style="152" hidden="1" customWidth="1"/>
    <col min="14352" max="14592" width="9" style="152"/>
    <col min="14593" max="14593" width="4.5" style="152" customWidth="1"/>
    <col min="14594" max="14594" width="24.375" style="152" customWidth="1"/>
    <col min="14595" max="14595" width="28.25" style="152" customWidth="1"/>
    <col min="14596" max="14596" width="0" style="152" hidden="1" customWidth="1"/>
    <col min="14597" max="14598" width="10.375" style="152" customWidth="1"/>
    <col min="14599" max="14599" width="10" style="152" customWidth="1"/>
    <col min="14600" max="14600" width="18.75" style="152" customWidth="1"/>
    <col min="14601" max="14601" width="22.5" style="152" customWidth="1"/>
    <col min="14602" max="14602" width="21.25" style="152" customWidth="1"/>
    <col min="14603" max="14603" width="11.125" style="152" customWidth="1"/>
    <col min="14604" max="14604" width="22.375" style="152" customWidth="1"/>
    <col min="14605" max="14605" width="21.25" style="152" customWidth="1"/>
    <col min="14606" max="14606" width="11.25" style="152" customWidth="1"/>
    <col min="14607" max="14607" width="0" style="152" hidden="1" customWidth="1"/>
    <col min="14608" max="14848" width="9" style="152"/>
    <col min="14849" max="14849" width="4.5" style="152" customWidth="1"/>
    <col min="14850" max="14850" width="24.375" style="152" customWidth="1"/>
    <col min="14851" max="14851" width="28.25" style="152" customWidth="1"/>
    <col min="14852" max="14852" width="0" style="152" hidden="1" customWidth="1"/>
    <col min="14853" max="14854" width="10.375" style="152" customWidth="1"/>
    <col min="14855" max="14855" width="10" style="152" customWidth="1"/>
    <col min="14856" max="14856" width="18.75" style="152" customWidth="1"/>
    <col min="14857" max="14857" width="22.5" style="152" customWidth="1"/>
    <col min="14858" max="14858" width="21.25" style="152" customWidth="1"/>
    <col min="14859" max="14859" width="11.125" style="152" customWidth="1"/>
    <col min="14860" max="14860" width="22.375" style="152" customWidth="1"/>
    <col min="14861" max="14861" width="21.25" style="152" customWidth="1"/>
    <col min="14862" max="14862" width="11.25" style="152" customWidth="1"/>
    <col min="14863" max="14863" width="0" style="152" hidden="1" customWidth="1"/>
    <col min="14864" max="15104" width="9" style="152"/>
    <col min="15105" max="15105" width="4.5" style="152" customWidth="1"/>
    <col min="15106" max="15106" width="24.375" style="152" customWidth="1"/>
    <col min="15107" max="15107" width="28.25" style="152" customWidth="1"/>
    <col min="15108" max="15108" width="0" style="152" hidden="1" customWidth="1"/>
    <col min="15109" max="15110" width="10.375" style="152" customWidth="1"/>
    <col min="15111" max="15111" width="10" style="152" customWidth="1"/>
    <col min="15112" max="15112" width="18.75" style="152" customWidth="1"/>
    <col min="15113" max="15113" width="22.5" style="152" customWidth="1"/>
    <col min="15114" max="15114" width="21.25" style="152" customWidth="1"/>
    <col min="15115" max="15115" width="11.125" style="152" customWidth="1"/>
    <col min="15116" max="15116" width="22.375" style="152" customWidth="1"/>
    <col min="15117" max="15117" width="21.25" style="152" customWidth="1"/>
    <col min="15118" max="15118" width="11.25" style="152" customWidth="1"/>
    <col min="15119" max="15119" width="0" style="152" hidden="1" customWidth="1"/>
    <col min="15120" max="15360" width="9" style="152"/>
    <col min="15361" max="15361" width="4.5" style="152" customWidth="1"/>
    <col min="15362" max="15362" width="24.375" style="152" customWidth="1"/>
    <col min="15363" max="15363" width="28.25" style="152" customWidth="1"/>
    <col min="15364" max="15364" width="0" style="152" hidden="1" customWidth="1"/>
    <col min="15365" max="15366" width="10.375" style="152" customWidth="1"/>
    <col min="15367" max="15367" width="10" style="152" customWidth="1"/>
    <col min="15368" max="15368" width="18.75" style="152" customWidth="1"/>
    <col min="15369" max="15369" width="22.5" style="152" customWidth="1"/>
    <col min="15370" max="15370" width="21.25" style="152" customWidth="1"/>
    <col min="15371" max="15371" width="11.125" style="152" customWidth="1"/>
    <col min="15372" max="15372" width="22.375" style="152" customWidth="1"/>
    <col min="15373" max="15373" width="21.25" style="152" customWidth="1"/>
    <col min="15374" max="15374" width="11.25" style="152" customWidth="1"/>
    <col min="15375" max="15375" width="0" style="152" hidden="1" customWidth="1"/>
    <col min="15376" max="15616" width="9" style="152"/>
    <col min="15617" max="15617" width="4.5" style="152" customWidth="1"/>
    <col min="15618" max="15618" width="24.375" style="152" customWidth="1"/>
    <col min="15619" max="15619" width="28.25" style="152" customWidth="1"/>
    <col min="15620" max="15620" width="0" style="152" hidden="1" customWidth="1"/>
    <col min="15621" max="15622" width="10.375" style="152" customWidth="1"/>
    <col min="15623" max="15623" width="10" style="152" customWidth="1"/>
    <col min="15624" max="15624" width="18.75" style="152" customWidth="1"/>
    <col min="15625" max="15625" width="22.5" style="152" customWidth="1"/>
    <col min="15626" max="15626" width="21.25" style="152" customWidth="1"/>
    <col min="15627" max="15627" width="11.125" style="152" customWidth="1"/>
    <col min="15628" max="15628" width="22.375" style="152" customWidth="1"/>
    <col min="15629" max="15629" width="21.25" style="152" customWidth="1"/>
    <col min="15630" max="15630" width="11.25" style="152" customWidth="1"/>
    <col min="15631" max="15631" width="0" style="152" hidden="1" customWidth="1"/>
    <col min="15632" max="15872" width="9" style="152"/>
    <col min="15873" max="15873" width="4.5" style="152" customWidth="1"/>
    <col min="15874" max="15874" width="24.375" style="152" customWidth="1"/>
    <col min="15875" max="15875" width="28.25" style="152" customWidth="1"/>
    <col min="15876" max="15876" width="0" style="152" hidden="1" customWidth="1"/>
    <col min="15877" max="15878" width="10.375" style="152" customWidth="1"/>
    <col min="15879" max="15879" width="10" style="152" customWidth="1"/>
    <col min="15880" max="15880" width="18.75" style="152" customWidth="1"/>
    <col min="15881" max="15881" width="22.5" style="152" customWidth="1"/>
    <col min="15882" max="15882" width="21.25" style="152" customWidth="1"/>
    <col min="15883" max="15883" width="11.125" style="152" customWidth="1"/>
    <col min="15884" max="15884" width="22.375" style="152" customWidth="1"/>
    <col min="15885" max="15885" width="21.25" style="152" customWidth="1"/>
    <col min="15886" max="15886" width="11.25" style="152" customWidth="1"/>
    <col min="15887" max="15887" width="0" style="152" hidden="1" customWidth="1"/>
    <col min="15888" max="16128" width="9" style="152"/>
    <col min="16129" max="16129" width="4.5" style="152" customWidth="1"/>
    <col min="16130" max="16130" width="24.375" style="152" customWidth="1"/>
    <col min="16131" max="16131" width="28.25" style="152" customWidth="1"/>
    <col min="16132" max="16132" width="0" style="152" hidden="1" customWidth="1"/>
    <col min="16133" max="16134" width="10.375" style="152" customWidth="1"/>
    <col min="16135" max="16135" width="10" style="152" customWidth="1"/>
    <col min="16136" max="16136" width="18.75" style="152" customWidth="1"/>
    <col min="16137" max="16137" width="22.5" style="152" customWidth="1"/>
    <col min="16138" max="16138" width="21.25" style="152" customWidth="1"/>
    <col min="16139" max="16139" width="11.125" style="152" customWidth="1"/>
    <col min="16140" max="16140" width="22.375" style="152" customWidth="1"/>
    <col min="16141" max="16141" width="21.25" style="152" customWidth="1"/>
    <col min="16142" max="16142" width="11.25" style="152" customWidth="1"/>
    <col min="16143" max="16143" width="0" style="152" hidden="1" customWidth="1"/>
    <col min="16144" max="16384" width="9" style="152"/>
  </cols>
  <sheetData>
    <row r="1" spans="1:21" s="112" customFormat="1" ht="37.5" customHeight="1" x14ac:dyDescent="0.15">
      <c r="A1" s="153" t="s">
        <v>318</v>
      </c>
      <c r="B1" s="5"/>
      <c r="C1" s="153"/>
      <c r="D1" s="153"/>
      <c r="E1" s="234"/>
      <c r="F1" s="235"/>
      <c r="G1" s="235"/>
      <c r="H1" s="235"/>
      <c r="I1" s="235"/>
      <c r="J1" s="235"/>
      <c r="K1" s="235"/>
      <c r="L1" s="235"/>
      <c r="M1" s="235"/>
      <c r="N1" s="235"/>
      <c r="O1" s="152"/>
      <c r="P1" s="152"/>
      <c r="Q1" s="152"/>
      <c r="R1" s="152"/>
      <c r="S1" s="152"/>
      <c r="T1" s="152"/>
      <c r="U1" s="152"/>
    </row>
    <row r="2" spans="1:21" s="112" customFormat="1" ht="36" customHeight="1" x14ac:dyDescent="0.15">
      <c r="A2" s="224" t="s">
        <v>0</v>
      </c>
      <c r="B2" s="225"/>
      <c r="C2" s="225"/>
      <c r="D2" s="225"/>
      <c r="E2" s="225"/>
      <c r="F2" s="225"/>
      <c r="G2" s="225"/>
      <c r="H2" s="225"/>
      <c r="I2" s="225"/>
      <c r="J2" s="225"/>
      <c r="K2" s="225"/>
      <c r="L2" s="225"/>
      <c r="M2" s="225"/>
      <c r="N2" s="225"/>
      <c r="O2" s="235"/>
      <c r="P2" s="152"/>
      <c r="Q2" s="152"/>
      <c r="R2" s="152"/>
      <c r="S2" s="152"/>
      <c r="T2" s="152"/>
      <c r="U2" s="152"/>
    </row>
    <row r="3" spans="1:21" s="112" customFormat="1" ht="18.75" customHeight="1" x14ac:dyDescent="0.15">
      <c r="A3" s="153"/>
      <c r="B3" s="5"/>
      <c r="C3" s="153"/>
      <c r="D3" s="153"/>
      <c r="G3" s="153"/>
      <c r="H3" s="153"/>
      <c r="I3" s="5"/>
      <c r="J3" s="153"/>
      <c r="K3" s="153"/>
      <c r="L3" s="5"/>
      <c r="M3" s="153"/>
      <c r="N3" s="153"/>
      <c r="O3" s="152"/>
      <c r="P3" s="152"/>
      <c r="Q3" s="152"/>
      <c r="R3" s="152"/>
      <c r="S3" s="152"/>
      <c r="T3" s="152"/>
      <c r="U3" s="152"/>
    </row>
    <row r="4" spans="1:21" s="112" customFormat="1" ht="23.25" customHeight="1" x14ac:dyDescent="0.15">
      <c r="A4" s="147"/>
      <c r="B4" s="114"/>
      <c r="C4" s="147"/>
      <c r="D4" s="147"/>
      <c r="G4" s="147"/>
      <c r="H4" s="147"/>
      <c r="I4" s="114"/>
      <c r="J4" s="147"/>
      <c r="K4" s="147"/>
      <c r="L4" s="150"/>
      <c r="M4" s="150"/>
      <c r="N4" s="149"/>
      <c r="O4" s="111"/>
      <c r="P4" s="152"/>
      <c r="Q4" s="152"/>
      <c r="R4" s="152"/>
      <c r="S4" s="152"/>
      <c r="T4" s="152"/>
      <c r="U4" s="152"/>
    </row>
    <row r="5" spans="1:21" s="112" customFormat="1" ht="31.5" customHeight="1" x14ac:dyDescent="0.15">
      <c r="A5" s="147"/>
      <c r="B5" s="114"/>
      <c r="C5" s="147"/>
      <c r="D5" s="147"/>
      <c r="G5" s="147"/>
      <c r="H5" s="147"/>
      <c r="I5" s="114"/>
      <c r="J5" s="147"/>
      <c r="K5" s="147"/>
      <c r="L5" s="114"/>
      <c r="M5" s="148"/>
      <c r="N5" s="147"/>
      <c r="O5" s="147"/>
      <c r="P5" s="152"/>
      <c r="Q5" s="152"/>
      <c r="R5" s="152"/>
      <c r="S5" s="152"/>
      <c r="T5" s="152"/>
      <c r="U5" s="152"/>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267</v>
      </c>
      <c r="B7" s="239"/>
      <c r="C7" s="239"/>
      <c r="D7" s="146"/>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428</v>
      </c>
      <c r="C13" s="120" t="s">
        <v>182</v>
      </c>
      <c r="D13" s="120" t="s">
        <v>78</v>
      </c>
      <c r="E13" s="61"/>
      <c r="F13" s="61"/>
      <c r="G13" s="120"/>
      <c r="H13" s="129">
        <v>0.7</v>
      </c>
      <c r="I13" s="120" t="s">
        <v>428</v>
      </c>
      <c r="J13" s="120" t="s">
        <v>182</v>
      </c>
      <c r="K13" s="129">
        <v>0.3</v>
      </c>
      <c r="L13" s="120" t="s">
        <v>429</v>
      </c>
      <c r="M13" s="120" t="s">
        <v>182</v>
      </c>
      <c r="N13" s="128">
        <v>0.2</v>
      </c>
      <c r="O13" s="118" t="s">
        <v>78</v>
      </c>
    </row>
    <row r="14" spans="1:21" ht="14.25" x14ac:dyDescent="0.15">
      <c r="A14" s="255"/>
      <c r="B14" s="120"/>
      <c r="C14" s="120" t="s">
        <v>30</v>
      </c>
      <c r="D14" s="120"/>
      <c r="E14" s="61"/>
      <c r="F14" s="61"/>
      <c r="G14" s="120"/>
      <c r="H14" s="119">
        <v>10</v>
      </c>
      <c r="I14" s="120"/>
      <c r="J14" s="120" t="s">
        <v>30</v>
      </c>
      <c r="K14" s="119">
        <v>5</v>
      </c>
      <c r="L14" s="120"/>
      <c r="M14" s="120" t="s">
        <v>30</v>
      </c>
      <c r="N14" s="119">
        <v>5</v>
      </c>
      <c r="O14" s="118"/>
    </row>
    <row r="15" spans="1:21" ht="14.25" x14ac:dyDescent="0.15">
      <c r="A15" s="255"/>
      <c r="B15" s="120"/>
      <c r="C15" s="120" t="s">
        <v>177</v>
      </c>
      <c r="D15" s="120"/>
      <c r="E15" s="61"/>
      <c r="F15" s="61"/>
      <c r="G15" s="120"/>
      <c r="H15" s="119">
        <v>10</v>
      </c>
      <c r="I15" s="120"/>
      <c r="J15" s="120" t="s">
        <v>177</v>
      </c>
      <c r="K15" s="119">
        <v>10</v>
      </c>
      <c r="L15" s="120"/>
      <c r="M15" s="120" t="s">
        <v>177</v>
      </c>
      <c r="N15" s="119">
        <v>10</v>
      </c>
      <c r="O15" s="118"/>
    </row>
    <row r="16" spans="1:21" ht="14.25" x14ac:dyDescent="0.15">
      <c r="A16" s="255"/>
      <c r="B16" s="120"/>
      <c r="C16" s="120"/>
      <c r="D16" s="120"/>
      <c r="E16" s="61"/>
      <c r="F16" s="61"/>
      <c r="G16" s="120" t="s">
        <v>32</v>
      </c>
      <c r="H16" s="119" t="s">
        <v>439</v>
      </c>
      <c r="I16" s="120"/>
      <c r="J16" s="120"/>
      <c r="K16" s="119"/>
      <c r="L16" s="123"/>
      <c r="M16" s="123"/>
      <c r="N16" s="122"/>
      <c r="O16" s="126"/>
    </row>
    <row r="17" spans="1:15" ht="14.25" x14ac:dyDescent="0.15">
      <c r="A17" s="255"/>
      <c r="B17" s="123"/>
      <c r="C17" s="123"/>
      <c r="D17" s="123"/>
      <c r="E17" s="55"/>
      <c r="F17" s="55"/>
      <c r="G17" s="123"/>
      <c r="H17" s="122"/>
      <c r="I17" s="123"/>
      <c r="J17" s="123"/>
      <c r="K17" s="122"/>
      <c r="L17" s="120" t="s">
        <v>433</v>
      </c>
      <c r="M17" s="120" t="s">
        <v>66</v>
      </c>
      <c r="N17" s="119">
        <v>10</v>
      </c>
      <c r="O17" s="118"/>
    </row>
    <row r="18" spans="1:15" ht="14.25" x14ac:dyDescent="0.15">
      <c r="A18" s="255"/>
      <c r="B18" s="120" t="s">
        <v>432</v>
      </c>
      <c r="C18" s="120" t="s">
        <v>156</v>
      </c>
      <c r="D18" s="120"/>
      <c r="E18" s="61"/>
      <c r="F18" s="61"/>
      <c r="G18" s="120"/>
      <c r="H18" s="119">
        <v>10</v>
      </c>
      <c r="I18" s="120" t="s">
        <v>432</v>
      </c>
      <c r="J18" s="120" t="s">
        <v>156</v>
      </c>
      <c r="K18" s="119">
        <v>10</v>
      </c>
      <c r="L18" s="120"/>
      <c r="M18" s="120" t="s">
        <v>31</v>
      </c>
      <c r="N18" s="119">
        <v>5</v>
      </c>
      <c r="O18" s="118"/>
    </row>
    <row r="19" spans="1:15" ht="14.25" x14ac:dyDescent="0.15">
      <c r="A19" s="255"/>
      <c r="B19" s="120"/>
      <c r="C19" s="120" t="s">
        <v>66</v>
      </c>
      <c r="D19" s="120"/>
      <c r="E19" s="61"/>
      <c r="F19" s="61"/>
      <c r="G19" s="120"/>
      <c r="H19" s="119">
        <v>20</v>
      </c>
      <c r="I19" s="120"/>
      <c r="J19" s="120" t="s">
        <v>66</v>
      </c>
      <c r="K19" s="119">
        <v>20</v>
      </c>
      <c r="L19" s="123"/>
      <c r="M19" s="123"/>
      <c r="N19" s="122"/>
      <c r="O19" s="126"/>
    </row>
    <row r="20" spans="1:15" ht="14.25" x14ac:dyDescent="0.15">
      <c r="A20" s="255"/>
      <c r="B20" s="120"/>
      <c r="C20" s="120" t="s">
        <v>31</v>
      </c>
      <c r="D20" s="120"/>
      <c r="E20" s="61"/>
      <c r="F20" s="61"/>
      <c r="G20" s="120"/>
      <c r="H20" s="119">
        <v>10</v>
      </c>
      <c r="I20" s="120"/>
      <c r="J20" s="120" t="s">
        <v>31</v>
      </c>
      <c r="K20" s="119">
        <v>5</v>
      </c>
      <c r="L20" s="120" t="s">
        <v>374</v>
      </c>
      <c r="M20" s="120" t="s">
        <v>150</v>
      </c>
      <c r="N20" s="121">
        <v>0.13</v>
      </c>
      <c r="O20" s="118"/>
    </row>
    <row r="21" spans="1:15" ht="14.25" x14ac:dyDescent="0.15">
      <c r="A21" s="255"/>
      <c r="B21" s="120"/>
      <c r="C21" s="120"/>
      <c r="D21" s="120"/>
      <c r="E21" s="61"/>
      <c r="F21" s="61"/>
      <c r="G21" s="120" t="s">
        <v>32</v>
      </c>
      <c r="H21" s="119" t="s">
        <v>438</v>
      </c>
      <c r="I21" s="120"/>
      <c r="J21" s="120"/>
      <c r="K21" s="119"/>
      <c r="L21" s="120"/>
      <c r="M21" s="120"/>
      <c r="N21" s="119"/>
      <c r="O21" s="118"/>
    </row>
    <row r="22" spans="1:15" ht="14.25" x14ac:dyDescent="0.15">
      <c r="A22" s="255"/>
      <c r="B22" s="123"/>
      <c r="C22" s="123"/>
      <c r="D22" s="123"/>
      <c r="E22" s="55"/>
      <c r="F22" s="55"/>
      <c r="G22" s="123"/>
      <c r="H22" s="122"/>
      <c r="I22" s="123"/>
      <c r="J22" s="123"/>
      <c r="K22" s="122"/>
      <c r="L22" s="120"/>
      <c r="M22" s="120"/>
      <c r="N22" s="119"/>
      <c r="O22" s="118"/>
    </row>
    <row r="23" spans="1:15" ht="14.25" x14ac:dyDescent="0.15">
      <c r="A23" s="255"/>
      <c r="B23" s="120" t="s">
        <v>43</v>
      </c>
      <c r="C23" s="120" t="s">
        <v>124</v>
      </c>
      <c r="D23" s="120"/>
      <c r="E23" s="61" t="s">
        <v>36</v>
      </c>
      <c r="F23" s="157"/>
      <c r="G23" s="120"/>
      <c r="H23" s="156">
        <v>0.05</v>
      </c>
      <c r="I23" s="120" t="s">
        <v>43</v>
      </c>
      <c r="J23" s="120" t="s">
        <v>124</v>
      </c>
      <c r="K23" s="156">
        <v>0.05</v>
      </c>
      <c r="L23" s="120"/>
      <c r="M23" s="120"/>
      <c r="N23" s="119"/>
      <c r="O23" s="118"/>
    </row>
    <row r="24" spans="1:15" ht="14.25" x14ac:dyDescent="0.15">
      <c r="A24" s="255"/>
      <c r="B24" s="120"/>
      <c r="C24" s="120"/>
      <c r="D24" s="120"/>
      <c r="E24" s="61"/>
      <c r="F24" s="61"/>
      <c r="G24" s="120" t="s">
        <v>32</v>
      </c>
      <c r="H24" s="119" t="s">
        <v>439</v>
      </c>
      <c r="I24" s="120"/>
      <c r="J24" s="120"/>
      <c r="K24" s="119"/>
      <c r="L24" s="120"/>
      <c r="M24" s="120"/>
      <c r="N24" s="119"/>
      <c r="O24" s="118"/>
    </row>
    <row r="25" spans="1:15" ht="14.25" x14ac:dyDescent="0.15">
      <c r="A25" s="255"/>
      <c r="B25" s="120"/>
      <c r="C25" s="120"/>
      <c r="D25" s="120"/>
      <c r="E25" s="61"/>
      <c r="F25" s="61"/>
      <c r="G25" s="120" t="s">
        <v>46</v>
      </c>
      <c r="H25" s="119" t="s">
        <v>438</v>
      </c>
      <c r="I25" s="120"/>
      <c r="J25" s="120"/>
      <c r="K25" s="119"/>
      <c r="L25" s="120"/>
      <c r="M25" s="120"/>
      <c r="N25" s="119"/>
      <c r="O25" s="118"/>
    </row>
    <row r="26" spans="1:15" ht="14.25" x14ac:dyDescent="0.15">
      <c r="A26" s="255"/>
      <c r="B26" s="123"/>
      <c r="C26" s="123"/>
      <c r="D26" s="123"/>
      <c r="E26" s="55"/>
      <c r="F26" s="55"/>
      <c r="G26" s="123"/>
      <c r="H26" s="122"/>
      <c r="I26" s="123"/>
      <c r="J26" s="123"/>
      <c r="K26" s="122"/>
      <c r="L26" s="120"/>
      <c r="M26" s="120"/>
      <c r="N26" s="119"/>
      <c r="O26" s="118"/>
    </row>
    <row r="27" spans="1:15" ht="14.25" x14ac:dyDescent="0.15">
      <c r="A27" s="255"/>
      <c r="B27" s="120" t="s">
        <v>149</v>
      </c>
      <c r="C27" s="120" t="s">
        <v>150</v>
      </c>
      <c r="D27" s="120"/>
      <c r="E27" s="61"/>
      <c r="F27" s="61"/>
      <c r="G27" s="120"/>
      <c r="H27" s="128">
        <v>0.17</v>
      </c>
      <c r="I27" s="120" t="s">
        <v>149</v>
      </c>
      <c r="J27" s="120" t="s">
        <v>150</v>
      </c>
      <c r="K27" s="128">
        <v>0.17</v>
      </c>
      <c r="L27" s="120"/>
      <c r="M27" s="120"/>
      <c r="N27" s="119"/>
      <c r="O27" s="118"/>
    </row>
    <row r="28" spans="1:15" ht="15" thickBot="1" x14ac:dyDescent="0.2">
      <c r="A28" s="256"/>
      <c r="B28" s="117"/>
      <c r="C28" s="117"/>
      <c r="D28" s="117"/>
      <c r="E28" s="68"/>
      <c r="F28" s="68"/>
      <c r="G28" s="117"/>
      <c r="H28" s="116"/>
      <c r="I28" s="117"/>
      <c r="J28" s="117"/>
      <c r="K28" s="116"/>
      <c r="L28" s="117"/>
      <c r="M28" s="117"/>
      <c r="N28" s="116"/>
      <c r="O28" s="115"/>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row r="61" spans="2:14" ht="14.25" x14ac:dyDescent="0.15">
      <c r="B61" s="114"/>
      <c r="C61" s="114"/>
      <c r="D61" s="114"/>
      <c r="G61" s="114"/>
      <c r="H61" s="113"/>
      <c r="I61" s="114"/>
      <c r="J61" s="114"/>
      <c r="K61" s="113"/>
      <c r="L61" s="114"/>
      <c r="M61" s="114"/>
      <c r="N61" s="113"/>
    </row>
    <row r="62" spans="2:14" ht="14.25" x14ac:dyDescent="0.15">
      <c r="B62" s="114"/>
      <c r="C62" s="114"/>
      <c r="D62" s="114"/>
      <c r="G62" s="114"/>
      <c r="H62" s="113"/>
      <c r="I62" s="114"/>
      <c r="J62" s="114"/>
      <c r="K62" s="113"/>
      <c r="L62" s="114"/>
      <c r="M62" s="114"/>
      <c r="N62" s="113"/>
    </row>
    <row r="63" spans="2:14" ht="14.25" x14ac:dyDescent="0.15">
      <c r="B63" s="114"/>
      <c r="C63" s="114"/>
      <c r="D63" s="114"/>
      <c r="G63" s="114"/>
      <c r="H63" s="113"/>
      <c r="I63" s="114"/>
      <c r="J63" s="114"/>
      <c r="K63" s="113"/>
      <c r="L63" s="114"/>
      <c r="M63" s="114"/>
      <c r="N63" s="113"/>
    </row>
    <row r="64" spans="2:14" ht="14.25" x14ac:dyDescent="0.15">
      <c r="B64" s="114"/>
      <c r="C64" s="114"/>
      <c r="D64" s="114"/>
      <c r="G64" s="114"/>
      <c r="H64" s="113"/>
      <c r="I64" s="114"/>
      <c r="J64" s="114"/>
      <c r="K64" s="113"/>
      <c r="L64" s="114"/>
      <c r="M64" s="114"/>
      <c r="N64" s="113"/>
    </row>
  </sheetData>
  <mergeCells count="15">
    <mergeCell ref="E1:N1"/>
    <mergeCell ref="A2:O2"/>
    <mergeCell ref="E6:F6"/>
    <mergeCell ref="A7:C7"/>
    <mergeCell ref="E7:F7"/>
    <mergeCell ref="L8:N8"/>
    <mergeCell ref="O8:O10"/>
    <mergeCell ref="I9:K9"/>
    <mergeCell ref="L9:N9"/>
    <mergeCell ref="A11:A28"/>
    <mergeCell ref="A8:C9"/>
    <mergeCell ref="D8:D10"/>
    <mergeCell ref="E8:E10"/>
    <mergeCell ref="F8:F10"/>
    <mergeCell ref="I8:K8"/>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269</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23</v>
      </c>
      <c r="C10" s="48"/>
      <c r="D10" s="49"/>
      <c r="E10" s="50"/>
      <c r="F10" s="51"/>
      <c r="G10" s="82"/>
      <c r="H10" s="86"/>
      <c r="I10" s="49"/>
      <c r="J10" s="51"/>
      <c r="K10" s="51"/>
      <c r="L10" s="51"/>
      <c r="M10" s="51"/>
      <c r="N10" s="90"/>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71</v>
      </c>
      <c r="C12" s="60" t="s">
        <v>77</v>
      </c>
      <c r="D12" s="61"/>
      <c r="E12" s="65">
        <v>1</v>
      </c>
      <c r="F12" s="62" t="s">
        <v>79</v>
      </c>
      <c r="G12" s="84" t="s">
        <v>78</v>
      </c>
      <c r="H12" s="88" t="s">
        <v>77</v>
      </c>
      <c r="I12" s="61"/>
      <c r="J12" s="62">
        <f>ROUNDUP(E12*0.75,2)</f>
        <v>0.75</v>
      </c>
      <c r="K12" s="62" t="s">
        <v>79</v>
      </c>
      <c r="L12" s="62" t="s">
        <v>78</v>
      </c>
      <c r="M12" s="62">
        <f>ROUNDUP((R5*E12)+(R6*J12)+(R7*(E12*2)),2)</f>
        <v>0</v>
      </c>
      <c r="N12" s="92">
        <f>M12</f>
        <v>0</v>
      </c>
      <c r="O12" s="80" t="s">
        <v>72</v>
      </c>
      <c r="P12" s="63" t="s">
        <v>42</v>
      </c>
      <c r="Q12" s="61"/>
      <c r="R12" s="64">
        <v>0.05</v>
      </c>
      <c r="S12" s="65">
        <f>ROUNDUP(R12*0.75,2)</f>
        <v>0.04</v>
      </c>
      <c r="T12" s="76">
        <f>ROUNDUP((R5*R12)+(R6*S12)+(R7*(R12*2)),2)</f>
        <v>0</v>
      </c>
    </row>
    <row r="13" spans="1:21" ht="18.75" customHeight="1" x14ac:dyDescent="0.15">
      <c r="A13" s="232"/>
      <c r="B13" s="80"/>
      <c r="C13" s="60" t="s">
        <v>80</v>
      </c>
      <c r="D13" s="61" t="s">
        <v>52</v>
      </c>
      <c r="E13" s="66">
        <v>0.1</v>
      </c>
      <c r="F13" s="62" t="s">
        <v>45</v>
      </c>
      <c r="G13" s="84"/>
      <c r="H13" s="88" t="s">
        <v>80</v>
      </c>
      <c r="I13" s="61" t="s">
        <v>52</v>
      </c>
      <c r="J13" s="62">
        <f>ROUNDUP(E13*0.75,2)</f>
        <v>0.08</v>
      </c>
      <c r="K13" s="62" t="s">
        <v>45</v>
      </c>
      <c r="L13" s="62"/>
      <c r="M13" s="62">
        <f>ROUNDUP((R5*E13)+(R6*J13)+(R7*(E13*2)),2)</f>
        <v>0</v>
      </c>
      <c r="N13" s="92">
        <f>M13</f>
        <v>0</v>
      </c>
      <c r="O13" s="80" t="s">
        <v>73</v>
      </c>
      <c r="P13" s="63" t="s">
        <v>67</v>
      </c>
      <c r="Q13" s="61"/>
      <c r="R13" s="64">
        <v>0.01</v>
      </c>
      <c r="S13" s="65">
        <f>ROUNDUP(R13*0.75,2)</f>
        <v>0.01</v>
      </c>
      <c r="T13" s="76">
        <f>ROUNDUP((R5*R13)+(R6*S13)+(R7*(R13*2)),2)</f>
        <v>0</v>
      </c>
    </row>
    <row r="14" spans="1:21" ht="18.75" customHeight="1" x14ac:dyDescent="0.15">
      <c r="A14" s="232"/>
      <c r="B14" s="80"/>
      <c r="C14" s="60" t="s">
        <v>81</v>
      </c>
      <c r="D14" s="61"/>
      <c r="E14" s="65">
        <v>20</v>
      </c>
      <c r="F14" s="62" t="s">
        <v>27</v>
      </c>
      <c r="G14" s="84"/>
      <c r="H14" s="88" t="s">
        <v>81</v>
      </c>
      <c r="I14" s="61"/>
      <c r="J14" s="62">
        <f>ROUNDUP(E14*0.75,2)</f>
        <v>15</v>
      </c>
      <c r="K14" s="62" t="s">
        <v>27</v>
      </c>
      <c r="L14" s="62"/>
      <c r="M14" s="62">
        <f>ROUNDUP((R5*E14)+(R6*J14)+(R7*(E14*2)),2)</f>
        <v>0</v>
      </c>
      <c r="N14" s="92">
        <f>M14</f>
        <v>0</v>
      </c>
      <c r="O14" s="80" t="s">
        <v>74</v>
      </c>
      <c r="P14" s="63" t="s">
        <v>64</v>
      </c>
      <c r="Q14" s="61"/>
      <c r="R14" s="64">
        <v>2</v>
      </c>
      <c r="S14" s="65">
        <f>ROUNDUP(R14*0.75,2)</f>
        <v>1.5</v>
      </c>
      <c r="T14" s="76">
        <f>ROUNDUP((R5*R14)+(R6*S14)+(R7*(R14*2)),2)</f>
        <v>0</v>
      </c>
    </row>
    <row r="15" spans="1:21" ht="18.75" customHeight="1" x14ac:dyDescent="0.15">
      <c r="A15" s="232"/>
      <c r="B15" s="80"/>
      <c r="C15" s="60"/>
      <c r="D15" s="61"/>
      <c r="E15" s="65"/>
      <c r="F15" s="62"/>
      <c r="G15" s="84"/>
      <c r="H15" s="88"/>
      <c r="I15" s="61"/>
      <c r="J15" s="62"/>
      <c r="K15" s="62"/>
      <c r="L15" s="62"/>
      <c r="M15" s="62"/>
      <c r="N15" s="92"/>
      <c r="O15" s="80" t="s">
        <v>75</v>
      </c>
      <c r="P15" s="63" t="s">
        <v>64</v>
      </c>
      <c r="Q15" s="61"/>
      <c r="R15" s="64">
        <v>1</v>
      </c>
      <c r="S15" s="65">
        <f>ROUNDUP(R15*0.75,2)</f>
        <v>0.75</v>
      </c>
      <c r="T15" s="76">
        <f>ROUNDUP((R5*R15)+(R6*S15)+(R7*(R15*2)),2)</f>
        <v>0</v>
      </c>
    </row>
    <row r="16" spans="1:21" ht="18.75" customHeight="1" x14ac:dyDescent="0.15">
      <c r="A16" s="232"/>
      <c r="B16" s="80"/>
      <c r="C16" s="60"/>
      <c r="D16" s="61"/>
      <c r="E16" s="65"/>
      <c r="F16" s="62"/>
      <c r="G16" s="84"/>
      <c r="H16" s="88"/>
      <c r="I16" s="61"/>
      <c r="J16" s="62"/>
      <c r="K16" s="62"/>
      <c r="L16" s="62"/>
      <c r="M16" s="62"/>
      <c r="N16" s="92"/>
      <c r="O16" s="80" t="s">
        <v>76</v>
      </c>
      <c r="P16" s="63" t="s">
        <v>42</v>
      </c>
      <c r="Q16" s="61"/>
      <c r="R16" s="64">
        <v>0.05</v>
      </c>
      <c r="S16" s="65">
        <f>ROUNDUP(R16*0.75,2)</f>
        <v>0.04</v>
      </c>
      <c r="T16" s="76">
        <f>ROUNDUP((R5*R16)+(R6*S16)+(R7*(R16*2)),2)</f>
        <v>0</v>
      </c>
    </row>
    <row r="17" spans="1:20" ht="18.75" customHeight="1" x14ac:dyDescent="0.15">
      <c r="A17" s="232"/>
      <c r="B17" s="80"/>
      <c r="C17" s="60"/>
      <c r="D17" s="61"/>
      <c r="E17" s="65"/>
      <c r="F17" s="62"/>
      <c r="G17" s="84"/>
      <c r="H17" s="88"/>
      <c r="I17" s="61"/>
      <c r="J17" s="62"/>
      <c r="K17" s="62"/>
      <c r="L17" s="62"/>
      <c r="M17" s="62"/>
      <c r="N17" s="92"/>
      <c r="O17" s="80" t="s">
        <v>24</v>
      </c>
      <c r="P17" s="63"/>
      <c r="Q17" s="61"/>
      <c r="R17" s="64"/>
      <c r="S17" s="65"/>
      <c r="T17" s="76"/>
    </row>
    <row r="18" spans="1:20" ht="18.75" customHeight="1" x14ac:dyDescent="0.15">
      <c r="A18" s="232"/>
      <c r="B18" s="79"/>
      <c r="C18" s="54"/>
      <c r="D18" s="55"/>
      <c r="E18" s="56"/>
      <c r="F18" s="57"/>
      <c r="G18" s="83"/>
      <c r="H18" s="87"/>
      <c r="I18" s="55"/>
      <c r="J18" s="57"/>
      <c r="K18" s="57"/>
      <c r="L18" s="57"/>
      <c r="M18" s="57"/>
      <c r="N18" s="91"/>
      <c r="O18" s="79"/>
      <c r="P18" s="58"/>
      <c r="Q18" s="55"/>
      <c r="R18" s="59"/>
      <c r="S18" s="56"/>
      <c r="T18" s="75"/>
    </row>
    <row r="19" spans="1:20" ht="18.75" customHeight="1" x14ac:dyDescent="0.15">
      <c r="A19" s="232"/>
      <c r="B19" s="80" t="s">
        <v>82</v>
      </c>
      <c r="C19" s="60" t="s">
        <v>85</v>
      </c>
      <c r="D19" s="61"/>
      <c r="E19" s="65">
        <v>20</v>
      </c>
      <c r="F19" s="62" t="s">
        <v>27</v>
      </c>
      <c r="G19" s="84"/>
      <c r="H19" s="88" t="s">
        <v>85</v>
      </c>
      <c r="I19" s="61"/>
      <c r="J19" s="62">
        <f>ROUNDUP(E19*0.75,2)</f>
        <v>15</v>
      </c>
      <c r="K19" s="62" t="s">
        <v>27</v>
      </c>
      <c r="L19" s="62"/>
      <c r="M19" s="62">
        <f>ROUNDUP((R5*E19)+(R6*J19)+(R7*(E19*2)),2)</f>
        <v>0</v>
      </c>
      <c r="N19" s="92">
        <f>M19</f>
        <v>0</v>
      </c>
      <c r="O19" s="80" t="s">
        <v>83</v>
      </c>
      <c r="P19" s="63" t="s">
        <v>64</v>
      </c>
      <c r="Q19" s="61"/>
      <c r="R19" s="64">
        <v>1</v>
      </c>
      <c r="S19" s="65">
        <f>ROUNDUP(R19*0.75,2)</f>
        <v>0.75</v>
      </c>
      <c r="T19" s="76">
        <f>ROUNDUP((R5*R19)+(R6*S19)+(R7*(R19*2)),2)</f>
        <v>0</v>
      </c>
    </row>
    <row r="20" spans="1:20" ht="18.75" customHeight="1" x14ac:dyDescent="0.15">
      <c r="A20" s="232"/>
      <c r="B20" s="80"/>
      <c r="C20" s="60" t="s">
        <v>86</v>
      </c>
      <c r="D20" s="61"/>
      <c r="E20" s="65">
        <v>30</v>
      </c>
      <c r="F20" s="62" t="s">
        <v>27</v>
      </c>
      <c r="G20" s="84"/>
      <c r="H20" s="88" t="s">
        <v>86</v>
      </c>
      <c r="I20" s="61"/>
      <c r="J20" s="62">
        <f>ROUNDUP(E20*0.75,2)</f>
        <v>22.5</v>
      </c>
      <c r="K20" s="62" t="s">
        <v>27</v>
      </c>
      <c r="L20" s="62"/>
      <c r="M20" s="62">
        <f>ROUNDUP((R5*E20)+(R6*J20)+(R7*(E20*2)),2)</f>
        <v>0</v>
      </c>
      <c r="N20" s="92">
        <f>ROUND(M20+(M20*15/100),2)</f>
        <v>0</v>
      </c>
      <c r="O20" s="80" t="s">
        <v>84</v>
      </c>
      <c r="P20" s="63" t="s">
        <v>33</v>
      </c>
      <c r="Q20" s="61"/>
      <c r="R20" s="64">
        <v>1</v>
      </c>
      <c r="S20" s="65">
        <f>ROUNDUP(R20*0.75,2)</f>
        <v>0.75</v>
      </c>
      <c r="T20" s="76">
        <f>ROUNDUP((R5*R20)+(R6*S20)+(R7*(R20*2)),2)</f>
        <v>0</v>
      </c>
    </row>
    <row r="21" spans="1:20" ht="18.75" customHeight="1" x14ac:dyDescent="0.15">
      <c r="A21" s="232"/>
      <c r="B21" s="80"/>
      <c r="C21" s="60" t="s">
        <v>31</v>
      </c>
      <c r="D21" s="61"/>
      <c r="E21" s="65">
        <v>10</v>
      </c>
      <c r="F21" s="62" t="s">
        <v>27</v>
      </c>
      <c r="G21" s="84"/>
      <c r="H21" s="88" t="s">
        <v>31</v>
      </c>
      <c r="I21" s="61"/>
      <c r="J21" s="62">
        <f>ROUNDUP(E21*0.75,2)</f>
        <v>7.5</v>
      </c>
      <c r="K21" s="62" t="s">
        <v>27</v>
      </c>
      <c r="L21" s="62"/>
      <c r="M21" s="62">
        <f>ROUNDUP((R5*E21)+(R6*J21)+(R7*(E21*2)),2)</f>
        <v>0</v>
      </c>
      <c r="N21" s="92">
        <f>ROUND(M21+(M21*10/100),2)</f>
        <v>0</v>
      </c>
      <c r="O21" s="80" t="s">
        <v>44</v>
      </c>
      <c r="P21" s="63" t="s">
        <v>34</v>
      </c>
      <c r="Q21" s="61"/>
      <c r="R21" s="64">
        <v>1</v>
      </c>
      <c r="S21" s="65">
        <f>ROUNDUP(R21*0.75,2)</f>
        <v>0.75</v>
      </c>
      <c r="T21" s="76">
        <f>ROUNDUP((R5*R21)+(R6*S21)+(R7*(R21*2)),2)</f>
        <v>0</v>
      </c>
    </row>
    <row r="22" spans="1:20" ht="18.75" customHeight="1" x14ac:dyDescent="0.15">
      <c r="A22" s="232"/>
      <c r="B22" s="80"/>
      <c r="C22" s="60"/>
      <c r="D22" s="61"/>
      <c r="E22" s="65"/>
      <c r="F22" s="62"/>
      <c r="G22" s="84"/>
      <c r="H22" s="88"/>
      <c r="I22" s="61"/>
      <c r="J22" s="62"/>
      <c r="K22" s="62"/>
      <c r="L22" s="62"/>
      <c r="M22" s="62"/>
      <c r="N22" s="92"/>
      <c r="O22" s="80"/>
      <c r="P22" s="63" t="s">
        <v>35</v>
      </c>
      <c r="Q22" s="61" t="s">
        <v>36</v>
      </c>
      <c r="R22" s="64">
        <v>1</v>
      </c>
      <c r="S22" s="65">
        <f>ROUNDUP(R22*0.75,2)</f>
        <v>0.75</v>
      </c>
      <c r="T22" s="76">
        <f>ROUNDUP((R5*R22)+(R6*S22)+(R7*(R22*2)),2)</f>
        <v>0</v>
      </c>
    </row>
    <row r="23" spans="1:20" ht="18.75" customHeight="1" x14ac:dyDescent="0.15">
      <c r="A23" s="232"/>
      <c r="B23" s="80"/>
      <c r="C23" s="60"/>
      <c r="D23" s="61"/>
      <c r="E23" s="65"/>
      <c r="F23" s="62"/>
      <c r="G23" s="84"/>
      <c r="H23" s="88"/>
      <c r="I23" s="61"/>
      <c r="J23" s="62"/>
      <c r="K23" s="62"/>
      <c r="L23" s="62"/>
      <c r="M23" s="62"/>
      <c r="N23" s="92"/>
      <c r="O23" s="80"/>
      <c r="P23" s="63" t="s">
        <v>32</v>
      </c>
      <c r="Q23" s="61"/>
      <c r="R23" s="64">
        <v>20</v>
      </c>
      <c r="S23" s="65">
        <f>ROUNDUP(R23*0.75,2)</f>
        <v>15</v>
      </c>
      <c r="T23" s="76">
        <f>ROUNDUP((R5*R23)+(R6*S23)+(R7*(R23*2)),2)</f>
        <v>0</v>
      </c>
    </row>
    <row r="24" spans="1:20" ht="18.75" customHeight="1" x14ac:dyDescent="0.15">
      <c r="A24" s="232"/>
      <c r="B24" s="79"/>
      <c r="C24" s="54"/>
      <c r="D24" s="55"/>
      <c r="E24" s="56"/>
      <c r="F24" s="57"/>
      <c r="G24" s="83"/>
      <c r="H24" s="87"/>
      <c r="I24" s="55"/>
      <c r="J24" s="57"/>
      <c r="K24" s="57"/>
      <c r="L24" s="57"/>
      <c r="M24" s="57"/>
      <c r="N24" s="91"/>
      <c r="O24" s="79"/>
      <c r="P24" s="58"/>
      <c r="Q24" s="55"/>
      <c r="R24" s="59"/>
      <c r="S24" s="56"/>
      <c r="T24" s="75"/>
    </row>
    <row r="25" spans="1:20" ht="18.75" customHeight="1" x14ac:dyDescent="0.15">
      <c r="A25" s="232"/>
      <c r="B25" s="80" t="s">
        <v>43</v>
      </c>
      <c r="C25" s="60" t="s">
        <v>87</v>
      </c>
      <c r="D25" s="61"/>
      <c r="E25" s="65">
        <v>5</v>
      </c>
      <c r="F25" s="62" t="s">
        <v>27</v>
      </c>
      <c r="G25" s="84"/>
      <c r="H25" s="88" t="s">
        <v>87</v>
      </c>
      <c r="I25" s="61"/>
      <c r="J25" s="62">
        <f>ROUNDUP(E25*0.75,2)</f>
        <v>3.75</v>
      </c>
      <c r="K25" s="62" t="s">
        <v>27</v>
      </c>
      <c r="L25" s="62"/>
      <c r="M25" s="62">
        <f>ROUNDUP((R5*E25)+(R6*J25)+(R7*(E25*2)),2)</f>
        <v>0</v>
      </c>
      <c r="N25" s="92">
        <f>M25</f>
        <v>0</v>
      </c>
      <c r="O25" s="80" t="s">
        <v>44</v>
      </c>
      <c r="P25" s="63" t="s">
        <v>32</v>
      </c>
      <c r="Q25" s="61"/>
      <c r="R25" s="64">
        <v>100</v>
      </c>
      <c r="S25" s="65">
        <f>ROUNDUP(R25*0.75,2)</f>
        <v>75</v>
      </c>
      <c r="T25" s="76">
        <f>ROUNDUP((R5*R25)+(R6*S25)+(R7*(R25*2)),2)</f>
        <v>0</v>
      </c>
    </row>
    <row r="26" spans="1:20" ht="18.75" customHeight="1" x14ac:dyDescent="0.15">
      <c r="A26" s="232"/>
      <c r="B26" s="80"/>
      <c r="C26" s="60" t="s">
        <v>61</v>
      </c>
      <c r="D26" s="61" t="s">
        <v>62</v>
      </c>
      <c r="E26" s="73">
        <v>0.25</v>
      </c>
      <c r="F26" s="62" t="s">
        <v>63</v>
      </c>
      <c r="G26" s="84"/>
      <c r="H26" s="88" t="s">
        <v>61</v>
      </c>
      <c r="I26" s="61" t="s">
        <v>62</v>
      </c>
      <c r="J26" s="62">
        <f>ROUNDUP(E26*0.75,2)</f>
        <v>0.19</v>
      </c>
      <c r="K26" s="62" t="s">
        <v>63</v>
      </c>
      <c r="L26" s="62"/>
      <c r="M26" s="62">
        <f>ROUNDUP((R5*E26)+(R6*J26)+(R7*(E26*2)),2)</f>
        <v>0</v>
      </c>
      <c r="N26" s="92">
        <f>M26</f>
        <v>0</v>
      </c>
      <c r="O26" s="80"/>
      <c r="P26" s="63" t="s">
        <v>46</v>
      </c>
      <c r="Q26" s="61"/>
      <c r="R26" s="64">
        <v>3</v>
      </c>
      <c r="S26" s="65">
        <f>ROUNDUP(R26*0.75,2)</f>
        <v>2.25</v>
      </c>
      <c r="T26" s="76">
        <f>ROUNDUP((R5*R26)+(R6*S26)+(R7*(R26*2)),2)</f>
        <v>0</v>
      </c>
    </row>
    <row r="27" spans="1:20" ht="18.75" customHeight="1" x14ac:dyDescent="0.15">
      <c r="A27" s="232"/>
      <c r="B27" s="79"/>
      <c r="C27" s="54"/>
      <c r="D27" s="55"/>
      <c r="E27" s="56"/>
      <c r="F27" s="57"/>
      <c r="G27" s="83"/>
      <c r="H27" s="87"/>
      <c r="I27" s="55"/>
      <c r="J27" s="57"/>
      <c r="K27" s="57"/>
      <c r="L27" s="57"/>
      <c r="M27" s="57"/>
      <c r="N27" s="91"/>
      <c r="O27" s="79"/>
      <c r="P27" s="58"/>
      <c r="Q27" s="55"/>
      <c r="R27" s="59"/>
      <c r="S27" s="56"/>
      <c r="T27" s="75"/>
    </row>
    <row r="28" spans="1:20" ht="18.75" customHeight="1" x14ac:dyDescent="0.15">
      <c r="A28" s="232"/>
      <c r="B28" s="80" t="s">
        <v>88</v>
      </c>
      <c r="C28" s="60" t="s">
        <v>90</v>
      </c>
      <c r="D28" s="61"/>
      <c r="E28" s="94">
        <v>0.16666666666666666</v>
      </c>
      <c r="F28" s="62" t="s">
        <v>63</v>
      </c>
      <c r="G28" s="84"/>
      <c r="H28" s="88" t="s">
        <v>90</v>
      </c>
      <c r="I28" s="61"/>
      <c r="J28" s="62">
        <f>ROUNDUP(E28*0.75,2)</f>
        <v>0.13</v>
      </c>
      <c r="K28" s="62" t="s">
        <v>63</v>
      </c>
      <c r="L28" s="62"/>
      <c r="M28" s="62">
        <f>ROUNDUP((R5*E28)+(R6*J28)+(R7*(E28*2)),2)</f>
        <v>0</v>
      </c>
      <c r="N28" s="92">
        <f>M28</f>
        <v>0</v>
      </c>
      <c r="O28" s="80" t="s">
        <v>89</v>
      </c>
      <c r="P28" s="63"/>
      <c r="Q28" s="61"/>
      <c r="R28" s="64"/>
      <c r="S28" s="65"/>
      <c r="T28" s="76"/>
    </row>
    <row r="29" spans="1:20" ht="18.75" customHeight="1" thickBot="1" x14ac:dyDescent="0.2">
      <c r="A29" s="233"/>
      <c r="B29" s="81"/>
      <c r="C29" s="67"/>
      <c r="D29" s="68"/>
      <c r="E29" s="69"/>
      <c r="F29" s="70"/>
      <c r="G29" s="85"/>
      <c r="H29" s="89"/>
      <c r="I29" s="68"/>
      <c r="J29" s="70"/>
      <c r="K29" s="70"/>
      <c r="L29" s="70"/>
      <c r="M29" s="70"/>
      <c r="N29" s="93"/>
      <c r="O29" s="81"/>
      <c r="P29" s="71"/>
      <c r="Q29" s="68"/>
      <c r="R29" s="72"/>
      <c r="S29" s="69"/>
      <c r="T29" s="77"/>
    </row>
  </sheetData>
  <mergeCells count="5">
    <mergeCell ref="H1:O1"/>
    <mergeCell ref="A2:T2"/>
    <mergeCell ref="Q3:T3"/>
    <mergeCell ref="A8:F8"/>
    <mergeCell ref="A10:A29"/>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F9495-2CCC-4DEB-B77E-DC14BD6D4866}">
  <sheetPr>
    <pageSetUpPr fitToPage="1"/>
  </sheetPr>
  <dimension ref="A1:U65"/>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269</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333</v>
      </c>
      <c r="C13" s="120" t="s">
        <v>77</v>
      </c>
      <c r="D13" s="120" t="s">
        <v>78</v>
      </c>
      <c r="E13" s="61"/>
      <c r="F13" s="61"/>
      <c r="G13" s="120"/>
      <c r="H13" s="129">
        <v>0.7</v>
      </c>
      <c r="I13" s="120" t="s">
        <v>333</v>
      </c>
      <c r="J13" s="120" t="s">
        <v>77</v>
      </c>
      <c r="K13" s="129">
        <v>0.3</v>
      </c>
      <c r="L13" s="120" t="s">
        <v>334</v>
      </c>
      <c r="M13" s="120" t="s">
        <v>77</v>
      </c>
      <c r="N13" s="128">
        <v>0.2</v>
      </c>
      <c r="O13" s="118" t="s">
        <v>78</v>
      </c>
    </row>
    <row r="14" spans="1:21" ht="14.25" x14ac:dyDescent="0.15">
      <c r="A14" s="255"/>
      <c r="B14" s="120"/>
      <c r="C14" s="120" t="s">
        <v>81</v>
      </c>
      <c r="D14" s="120"/>
      <c r="E14" s="61"/>
      <c r="F14" s="61"/>
      <c r="G14" s="120"/>
      <c r="H14" s="119">
        <v>20</v>
      </c>
      <c r="I14" s="120"/>
      <c r="J14" s="120" t="s">
        <v>81</v>
      </c>
      <c r="K14" s="119">
        <v>15</v>
      </c>
      <c r="L14" s="120"/>
      <c r="M14" s="120" t="s">
        <v>81</v>
      </c>
      <c r="N14" s="119">
        <v>10</v>
      </c>
      <c r="O14" s="118"/>
    </row>
    <row r="15" spans="1:21" ht="14.25" x14ac:dyDescent="0.15">
      <c r="A15" s="255"/>
      <c r="B15" s="120"/>
      <c r="C15" s="120"/>
      <c r="D15" s="120"/>
      <c r="E15" s="61"/>
      <c r="F15" s="61"/>
      <c r="G15" s="120" t="s">
        <v>32</v>
      </c>
      <c r="H15" s="119" t="s">
        <v>439</v>
      </c>
      <c r="I15" s="120"/>
      <c r="J15" s="120"/>
      <c r="K15" s="119"/>
      <c r="L15" s="123"/>
      <c r="M15" s="123"/>
      <c r="N15" s="122"/>
      <c r="O15" s="126"/>
    </row>
    <row r="16" spans="1:21" ht="14.25" x14ac:dyDescent="0.15">
      <c r="A16" s="255"/>
      <c r="B16" s="123"/>
      <c r="C16" s="123"/>
      <c r="D16" s="123"/>
      <c r="E16" s="55"/>
      <c r="F16" s="55"/>
      <c r="G16" s="123"/>
      <c r="H16" s="122"/>
      <c r="I16" s="123"/>
      <c r="J16" s="123"/>
      <c r="K16" s="122"/>
      <c r="L16" s="120" t="s">
        <v>339</v>
      </c>
      <c r="M16" s="120" t="s">
        <v>86</v>
      </c>
      <c r="N16" s="119">
        <v>15</v>
      </c>
      <c r="O16" s="118"/>
    </row>
    <row r="17" spans="1:15" ht="14.25" x14ac:dyDescent="0.15">
      <c r="A17" s="255"/>
      <c r="B17" s="120" t="s">
        <v>338</v>
      </c>
      <c r="C17" s="120" t="s">
        <v>85</v>
      </c>
      <c r="D17" s="120"/>
      <c r="E17" s="61"/>
      <c r="F17" s="61"/>
      <c r="G17" s="120"/>
      <c r="H17" s="119">
        <v>5</v>
      </c>
      <c r="I17" s="120" t="s">
        <v>338</v>
      </c>
      <c r="J17" s="127" t="s">
        <v>156</v>
      </c>
      <c r="K17" s="119">
        <v>5</v>
      </c>
      <c r="L17" s="120"/>
      <c r="M17" s="120" t="s">
        <v>31</v>
      </c>
      <c r="N17" s="119">
        <v>5</v>
      </c>
      <c r="O17" s="118"/>
    </row>
    <row r="18" spans="1:15" ht="14.25" x14ac:dyDescent="0.15">
      <c r="A18" s="255"/>
      <c r="B18" s="120"/>
      <c r="C18" s="120" t="s">
        <v>86</v>
      </c>
      <c r="D18" s="120"/>
      <c r="E18" s="61"/>
      <c r="F18" s="61"/>
      <c r="G18" s="120"/>
      <c r="H18" s="119">
        <v>20</v>
      </c>
      <c r="I18" s="120"/>
      <c r="J18" s="120" t="s">
        <v>86</v>
      </c>
      <c r="K18" s="119">
        <v>20</v>
      </c>
      <c r="L18" s="123"/>
      <c r="M18" s="123"/>
      <c r="N18" s="122"/>
      <c r="O18" s="126"/>
    </row>
    <row r="19" spans="1:15" ht="14.25" x14ac:dyDescent="0.15">
      <c r="A19" s="255"/>
      <c r="B19" s="120"/>
      <c r="C19" s="120" t="s">
        <v>31</v>
      </c>
      <c r="D19" s="120"/>
      <c r="E19" s="61"/>
      <c r="F19" s="61"/>
      <c r="G19" s="120"/>
      <c r="H19" s="119">
        <v>5</v>
      </c>
      <c r="I19" s="120"/>
      <c r="J19" s="120" t="s">
        <v>31</v>
      </c>
      <c r="K19" s="119">
        <v>5</v>
      </c>
      <c r="L19" s="120" t="s">
        <v>88</v>
      </c>
      <c r="M19" s="120" t="s">
        <v>90</v>
      </c>
      <c r="N19" s="125">
        <v>0.1</v>
      </c>
      <c r="O19" s="118"/>
    </row>
    <row r="20" spans="1:15" ht="14.25" x14ac:dyDescent="0.15">
      <c r="A20" s="255"/>
      <c r="B20" s="120"/>
      <c r="C20" s="120"/>
      <c r="D20" s="120"/>
      <c r="E20" s="61"/>
      <c r="F20" s="61"/>
      <c r="G20" s="120" t="s">
        <v>32</v>
      </c>
      <c r="H20" s="119" t="s">
        <v>439</v>
      </c>
      <c r="I20" s="120"/>
      <c r="J20" s="120"/>
      <c r="K20" s="119"/>
      <c r="L20" s="120"/>
      <c r="M20" s="120"/>
      <c r="N20" s="119"/>
      <c r="O20" s="118"/>
    </row>
    <row r="21" spans="1:15" ht="14.25" x14ac:dyDescent="0.15">
      <c r="A21" s="255"/>
      <c r="B21" s="120"/>
      <c r="C21" s="120"/>
      <c r="D21" s="120"/>
      <c r="E21" s="61"/>
      <c r="F21" s="61" t="s">
        <v>36</v>
      </c>
      <c r="G21" s="120" t="s">
        <v>35</v>
      </c>
      <c r="H21" s="119" t="s">
        <v>438</v>
      </c>
      <c r="I21" s="120"/>
      <c r="J21" s="120"/>
      <c r="K21" s="119"/>
      <c r="L21" s="120"/>
      <c r="M21" s="120"/>
      <c r="N21" s="119"/>
      <c r="O21" s="118"/>
    </row>
    <row r="22" spans="1:15" ht="14.25" x14ac:dyDescent="0.15">
      <c r="A22" s="255"/>
      <c r="B22" s="120"/>
      <c r="C22" s="120"/>
      <c r="D22" s="120"/>
      <c r="E22" s="61"/>
      <c r="F22" s="61"/>
      <c r="G22" s="120" t="s">
        <v>33</v>
      </c>
      <c r="H22" s="119" t="s">
        <v>438</v>
      </c>
      <c r="I22" s="120"/>
      <c r="J22" s="120"/>
      <c r="K22" s="119"/>
      <c r="L22" s="120"/>
      <c r="M22" s="120"/>
      <c r="N22" s="119"/>
      <c r="O22" s="118"/>
    </row>
    <row r="23" spans="1:15" ht="14.25" x14ac:dyDescent="0.15">
      <c r="A23" s="255"/>
      <c r="B23" s="123"/>
      <c r="C23" s="123"/>
      <c r="D23" s="123"/>
      <c r="E23" s="55"/>
      <c r="F23" s="124"/>
      <c r="G23" s="123"/>
      <c r="H23" s="122"/>
      <c r="I23" s="123"/>
      <c r="J23" s="123"/>
      <c r="K23" s="122"/>
      <c r="L23" s="120"/>
      <c r="M23" s="120"/>
      <c r="N23" s="119"/>
      <c r="O23" s="118"/>
    </row>
    <row r="24" spans="1:15" ht="14.25" x14ac:dyDescent="0.15">
      <c r="A24" s="255"/>
      <c r="B24" s="120" t="s">
        <v>43</v>
      </c>
      <c r="C24" s="120" t="s">
        <v>61</v>
      </c>
      <c r="D24" s="120"/>
      <c r="E24" s="61" t="s">
        <v>62</v>
      </c>
      <c r="F24" s="61"/>
      <c r="G24" s="120"/>
      <c r="H24" s="121">
        <v>0.13</v>
      </c>
      <c r="I24" s="120" t="s">
        <v>43</v>
      </c>
      <c r="J24" s="120" t="s">
        <v>440</v>
      </c>
      <c r="K24" s="121">
        <v>0.13</v>
      </c>
      <c r="L24" s="120"/>
      <c r="M24" s="120"/>
      <c r="N24" s="119"/>
      <c r="O24" s="118"/>
    </row>
    <row r="25" spans="1:15" ht="14.25" x14ac:dyDescent="0.15">
      <c r="A25" s="255"/>
      <c r="B25" s="120"/>
      <c r="C25" s="120"/>
      <c r="D25" s="120"/>
      <c r="E25" s="61"/>
      <c r="F25" s="61"/>
      <c r="G25" s="120" t="s">
        <v>32</v>
      </c>
      <c r="H25" s="119" t="s">
        <v>439</v>
      </c>
      <c r="I25" s="120"/>
      <c r="J25" s="120"/>
      <c r="K25" s="119"/>
      <c r="L25" s="120"/>
      <c r="M25" s="120"/>
      <c r="N25" s="119"/>
      <c r="O25" s="118"/>
    </row>
    <row r="26" spans="1:15" ht="14.25" x14ac:dyDescent="0.15">
      <c r="A26" s="255"/>
      <c r="B26" s="120"/>
      <c r="C26" s="120"/>
      <c r="D26" s="120"/>
      <c r="E26" s="61"/>
      <c r="F26" s="61"/>
      <c r="G26" s="120" t="s">
        <v>46</v>
      </c>
      <c r="H26" s="119" t="s">
        <v>438</v>
      </c>
      <c r="I26" s="120"/>
      <c r="J26" s="120"/>
      <c r="K26" s="119"/>
      <c r="L26" s="120"/>
      <c r="M26" s="120"/>
      <c r="N26" s="119"/>
      <c r="O26" s="118"/>
    </row>
    <row r="27" spans="1:15" ht="14.25" x14ac:dyDescent="0.15">
      <c r="A27" s="255"/>
      <c r="B27" s="123"/>
      <c r="C27" s="123"/>
      <c r="D27" s="123"/>
      <c r="E27" s="55"/>
      <c r="F27" s="55"/>
      <c r="G27" s="123"/>
      <c r="H27" s="122"/>
      <c r="I27" s="123"/>
      <c r="J27" s="123"/>
      <c r="K27" s="122"/>
      <c r="L27" s="120"/>
      <c r="M27" s="120"/>
      <c r="N27" s="119"/>
      <c r="O27" s="118"/>
    </row>
    <row r="28" spans="1:15" ht="14.25" x14ac:dyDescent="0.15">
      <c r="A28" s="255"/>
      <c r="B28" s="120" t="s">
        <v>88</v>
      </c>
      <c r="C28" s="120" t="s">
        <v>90</v>
      </c>
      <c r="D28" s="120"/>
      <c r="E28" s="61"/>
      <c r="F28" s="61"/>
      <c r="G28" s="120"/>
      <c r="H28" s="121">
        <v>0.13</v>
      </c>
      <c r="I28" s="120" t="s">
        <v>88</v>
      </c>
      <c r="J28" s="120" t="s">
        <v>90</v>
      </c>
      <c r="K28" s="121">
        <v>0.13</v>
      </c>
      <c r="L28" s="120"/>
      <c r="M28" s="120"/>
      <c r="N28" s="119"/>
      <c r="O28" s="118"/>
    </row>
    <row r="29" spans="1:15" ht="15" thickBot="1" x14ac:dyDescent="0.2">
      <c r="A29" s="256"/>
      <c r="B29" s="117"/>
      <c r="C29" s="117"/>
      <c r="D29" s="117"/>
      <c r="E29" s="68"/>
      <c r="F29" s="68"/>
      <c r="G29" s="117"/>
      <c r="H29" s="116"/>
      <c r="I29" s="117"/>
      <c r="J29" s="117"/>
      <c r="K29" s="116"/>
      <c r="L29" s="117"/>
      <c r="M29" s="117"/>
      <c r="N29" s="116"/>
      <c r="O29" s="115"/>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row r="61" spans="2:14" ht="14.25" x14ac:dyDescent="0.15">
      <c r="B61" s="114"/>
      <c r="C61" s="114"/>
      <c r="D61" s="114"/>
      <c r="G61" s="114"/>
      <c r="H61" s="113"/>
      <c r="I61" s="114"/>
      <c r="J61" s="114"/>
      <c r="K61" s="113"/>
      <c r="L61" s="114"/>
      <c r="M61" s="114"/>
      <c r="N61" s="113"/>
    </row>
    <row r="62" spans="2:14" ht="14.25" x14ac:dyDescent="0.15">
      <c r="B62" s="114"/>
      <c r="C62" s="114"/>
      <c r="D62" s="114"/>
      <c r="G62" s="114"/>
      <c r="H62" s="113"/>
      <c r="I62" s="114"/>
      <c r="J62" s="114"/>
      <c r="K62" s="113"/>
      <c r="L62" s="114"/>
      <c r="M62" s="114"/>
      <c r="N62" s="113"/>
    </row>
    <row r="63" spans="2:14" ht="14.25" x14ac:dyDescent="0.15">
      <c r="B63" s="114"/>
      <c r="C63" s="114"/>
      <c r="D63" s="114"/>
      <c r="G63" s="114"/>
      <c r="H63" s="113"/>
      <c r="I63" s="114"/>
      <c r="J63" s="114"/>
      <c r="K63" s="113"/>
      <c r="L63" s="114"/>
      <c r="M63" s="114"/>
      <c r="N63" s="113"/>
    </row>
    <row r="64" spans="2:14" ht="14.25" x14ac:dyDescent="0.15">
      <c r="B64" s="114"/>
      <c r="C64" s="114"/>
      <c r="D64" s="114"/>
      <c r="G64" s="114"/>
      <c r="H64" s="113"/>
      <c r="I64" s="114"/>
      <c r="J64" s="114"/>
      <c r="K64" s="113"/>
      <c r="L64" s="114"/>
      <c r="M64" s="114"/>
      <c r="N64" s="113"/>
    </row>
    <row r="65" spans="2:14" ht="14.25" x14ac:dyDescent="0.15">
      <c r="B65" s="114"/>
      <c r="C65" s="114"/>
      <c r="D65" s="114"/>
      <c r="G65" s="114"/>
      <c r="H65" s="113"/>
      <c r="I65" s="114"/>
      <c r="J65" s="114"/>
      <c r="K65" s="113"/>
      <c r="L65" s="114"/>
      <c r="M65" s="114"/>
      <c r="N65" s="113"/>
    </row>
  </sheetData>
  <mergeCells count="15">
    <mergeCell ref="E1:N1"/>
    <mergeCell ref="A2:O2"/>
    <mergeCell ref="E6:F6"/>
    <mergeCell ref="A7:C7"/>
    <mergeCell ref="E7:F7"/>
    <mergeCell ref="L8:N8"/>
    <mergeCell ref="O8:O10"/>
    <mergeCell ref="I9:K9"/>
    <mergeCell ref="L9:N9"/>
    <mergeCell ref="A11:A29"/>
    <mergeCell ref="A8:C9"/>
    <mergeCell ref="D8:D10"/>
    <mergeCell ref="E8:E10"/>
    <mergeCell ref="F8:F10"/>
    <mergeCell ref="I8:K8"/>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B24"/>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270</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105</v>
      </c>
      <c r="C10" s="48" t="s">
        <v>93</v>
      </c>
      <c r="D10" s="49"/>
      <c r="E10" s="50">
        <v>30</v>
      </c>
      <c r="F10" s="51" t="s">
        <v>27</v>
      </c>
      <c r="G10" s="82"/>
      <c r="H10" s="86" t="s">
        <v>93</v>
      </c>
      <c r="I10" s="49"/>
      <c r="J10" s="51">
        <f t="shared" ref="J10:J15" si="0">ROUNDUP(E10*0.75,2)</f>
        <v>22.5</v>
      </c>
      <c r="K10" s="51" t="s">
        <v>27</v>
      </c>
      <c r="L10" s="51"/>
      <c r="M10" s="51">
        <f>ROUNDUP((R5*E10)+(R6*J10)+(R7*(E10*2)),2)</f>
        <v>0</v>
      </c>
      <c r="N10" s="90">
        <f>M10</f>
        <v>0</v>
      </c>
      <c r="O10" s="78" t="s">
        <v>106</v>
      </c>
      <c r="P10" s="52" t="s">
        <v>23</v>
      </c>
      <c r="Q10" s="49"/>
      <c r="R10" s="53">
        <v>110</v>
      </c>
      <c r="S10" s="50">
        <f t="shared" ref="S10:S15" si="1">ROUNDUP(R10*0.75,2)</f>
        <v>82.5</v>
      </c>
      <c r="T10" s="74">
        <f>ROUNDUP((R5*R10)+(R6*S10)+(R7*(R10*2)),2)</f>
        <v>0</v>
      </c>
    </row>
    <row r="11" spans="1:21" ht="18.75" customHeight="1" x14ac:dyDescent="0.15">
      <c r="A11" s="232"/>
      <c r="B11" s="80"/>
      <c r="C11" s="60" t="s">
        <v>30</v>
      </c>
      <c r="D11" s="61"/>
      <c r="E11" s="65">
        <v>30</v>
      </c>
      <c r="F11" s="62" t="s">
        <v>27</v>
      </c>
      <c r="G11" s="84"/>
      <c r="H11" s="88" t="s">
        <v>30</v>
      </c>
      <c r="I11" s="61"/>
      <c r="J11" s="62">
        <f t="shared" si="0"/>
        <v>22.5</v>
      </c>
      <c r="K11" s="62" t="s">
        <v>27</v>
      </c>
      <c r="L11" s="62"/>
      <c r="M11" s="62">
        <f>ROUNDUP((R5*E11)+(R6*J11)+(R7*(E11*2)),2)</f>
        <v>0</v>
      </c>
      <c r="N11" s="92">
        <f>ROUND(M11+(M11*6/100),2)</f>
        <v>0</v>
      </c>
      <c r="O11" s="80" t="s">
        <v>107</v>
      </c>
      <c r="P11" s="63" t="s">
        <v>65</v>
      </c>
      <c r="Q11" s="61"/>
      <c r="R11" s="64">
        <v>0.5</v>
      </c>
      <c r="S11" s="65">
        <f t="shared" si="1"/>
        <v>0.38</v>
      </c>
      <c r="T11" s="76">
        <f>ROUNDUP((R5*R11)+(R6*S11)+(R7*(R11*2)),2)</f>
        <v>0</v>
      </c>
    </row>
    <row r="12" spans="1:21" ht="18.75" customHeight="1" x14ac:dyDescent="0.15">
      <c r="A12" s="232"/>
      <c r="B12" s="80"/>
      <c r="C12" s="60" t="s">
        <v>38</v>
      </c>
      <c r="D12" s="61"/>
      <c r="E12" s="65">
        <v>40</v>
      </c>
      <c r="F12" s="62" t="s">
        <v>27</v>
      </c>
      <c r="G12" s="84"/>
      <c r="H12" s="88" t="s">
        <v>38</v>
      </c>
      <c r="I12" s="61"/>
      <c r="J12" s="62">
        <f t="shared" si="0"/>
        <v>30</v>
      </c>
      <c r="K12" s="62" t="s">
        <v>27</v>
      </c>
      <c r="L12" s="62"/>
      <c r="M12" s="62">
        <f>ROUNDUP((R5*E12)+(R6*J12)+(R7*(E12*2)),2)</f>
        <v>0</v>
      </c>
      <c r="N12" s="92">
        <f>ROUND(M12+(M12*10/100),2)</f>
        <v>0</v>
      </c>
      <c r="O12" s="80" t="s">
        <v>108</v>
      </c>
      <c r="P12" s="63" t="s">
        <v>64</v>
      </c>
      <c r="Q12" s="61"/>
      <c r="R12" s="64">
        <v>2</v>
      </c>
      <c r="S12" s="65">
        <f t="shared" si="1"/>
        <v>1.5</v>
      </c>
      <c r="T12" s="76">
        <f>ROUNDUP((R5*R12)+(R6*S12)+(R7*(R12*2)),2)</f>
        <v>0</v>
      </c>
    </row>
    <row r="13" spans="1:21" ht="18.75" customHeight="1" x14ac:dyDescent="0.15">
      <c r="A13" s="232"/>
      <c r="B13" s="80"/>
      <c r="C13" s="60" t="s">
        <v>31</v>
      </c>
      <c r="D13" s="61"/>
      <c r="E13" s="65">
        <v>10</v>
      </c>
      <c r="F13" s="62" t="s">
        <v>27</v>
      </c>
      <c r="G13" s="84"/>
      <c r="H13" s="88" t="s">
        <v>31</v>
      </c>
      <c r="I13" s="61"/>
      <c r="J13" s="62">
        <f t="shared" si="0"/>
        <v>7.5</v>
      </c>
      <c r="K13" s="62" t="s">
        <v>27</v>
      </c>
      <c r="L13" s="62"/>
      <c r="M13" s="62">
        <f>ROUNDUP((R5*E13)+(R6*J13)+(R7*(E13*2)),2)</f>
        <v>0</v>
      </c>
      <c r="N13" s="92">
        <f>ROUND(M13+(M13*10/100),2)</f>
        <v>0</v>
      </c>
      <c r="O13" s="80" t="s">
        <v>109</v>
      </c>
      <c r="P13" s="63" t="s">
        <v>53</v>
      </c>
      <c r="Q13" s="61"/>
      <c r="R13" s="64">
        <v>40</v>
      </c>
      <c r="S13" s="65">
        <f t="shared" si="1"/>
        <v>30</v>
      </c>
      <c r="T13" s="76">
        <f>ROUNDUP((R5*R13)+(R6*S13)+(R7*(R13*2)),2)</f>
        <v>0</v>
      </c>
    </row>
    <row r="14" spans="1:21" ht="18.75" customHeight="1" x14ac:dyDescent="0.15">
      <c r="A14" s="232"/>
      <c r="B14" s="80"/>
      <c r="C14" s="60" t="s">
        <v>110</v>
      </c>
      <c r="D14" s="61" t="s">
        <v>36</v>
      </c>
      <c r="E14" s="65">
        <v>9</v>
      </c>
      <c r="F14" s="62" t="s">
        <v>27</v>
      </c>
      <c r="G14" s="84"/>
      <c r="H14" s="88" t="s">
        <v>110</v>
      </c>
      <c r="I14" s="61" t="s">
        <v>36</v>
      </c>
      <c r="J14" s="62">
        <f t="shared" si="0"/>
        <v>6.75</v>
      </c>
      <c r="K14" s="62" t="s">
        <v>27</v>
      </c>
      <c r="L14" s="62"/>
      <c r="M14" s="62">
        <f>ROUNDUP((R5*E14)+(R6*J14)+(R7*(E14*2)),2)</f>
        <v>0</v>
      </c>
      <c r="N14" s="92">
        <f>M14</f>
        <v>0</v>
      </c>
      <c r="O14" s="99" t="s">
        <v>314</v>
      </c>
      <c r="P14" s="63" t="s">
        <v>33</v>
      </c>
      <c r="Q14" s="61"/>
      <c r="R14" s="64">
        <v>0.5</v>
      </c>
      <c r="S14" s="65">
        <f t="shared" si="1"/>
        <v>0.38</v>
      </c>
      <c r="T14" s="76">
        <f>ROUNDUP((R5*R14)+(R6*S14)+(R7*(R14*2)),2)</f>
        <v>0</v>
      </c>
    </row>
    <row r="15" spans="1:21" customFormat="1" ht="18.75" customHeight="1" x14ac:dyDescent="0.15">
      <c r="A15" s="232"/>
      <c r="B15" s="80"/>
      <c r="C15" s="60" t="s">
        <v>55</v>
      </c>
      <c r="D15" s="61" t="s">
        <v>52</v>
      </c>
      <c r="E15" s="65">
        <v>30</v>
      </c>
      <c r="F15" s="62" t="s">
        <v>56</v>
      </c>
      <c r="G15" s="84"/>
      <c r="H15" s="88" t="s">
        <v>55</v>
      </c>
      <c r="I15" s="61" t="s">
        <v>52</v>
      </c>
      <c r="J15" s="62">
        <f t="shared" si="0"/>
        <v>22.5</v>
      </c>
      <c r="K15" s="62" t="s">
        <v>56</v>
      </c>
      <c r="L15" s="62"/>
      <c r="M15" s="62">
        <f>ROUNDUP((R5*E15)+(R6*J15)+(R7*(E15*2)),2)</f>
        <v>0</v>
      </c>
      <c r="N15" s="92">
        <f>M15</f>
        <v>0</v>
      </c>
      <c r="O15" s="36" t="s">
        <v>302</v>
      </c>
      <c r="P15" s="63" t="s">
        <v>111</v>
      </c>
      <c r="Q15" s="61"/>
      <c r="R15" s="64">
        <v>2</v>
      </c>
      <c r="S15" s="65">
        <f t="shared" si="1"/>
        <v>1.5</v>
      </c>
      <c r="T15" s="76">
        <f>ROUNDUP((R5*R15)+(R6*S15)+(R7*(R15*2)),2)</f>
        <v>0</v>
      </c>
      <c r="U15" s="35"/>
    </row>
    <row r="16" spans="1:21" customFormat="1" ht="18.75" customHeight="1" x14ac:dyDescent="0.15">
      <c r="A16" s="232"/>
      <c r="B16" s="80"/>
      <c r="C16" s="60"/>
      <c r="D16" s="61"/>
      <c r="E16" s="65"/>
      <c r="F16" s="62"/>
      <c r="G16" s="84"/>
      <c r="H16" s="88"/>
      <c r="I16" s="61"/>
      <c r="J16" s="62"/>
      <c r="K16" s="62"/>
      <c r="L16" s="62"/>
      <c r="M16" s="62"/>
      <c r="N16" s="92"/>
      <c r="O16" s="80" t="s">
        <v>24</v>
      </c>
      <c r="P16" s="63"/>
      <c r="Q16" s="61"/>
      <c r="R16" s="64"/>
      <c r="S16" s="65"/>
      <c r="T16" s="76"/>
      <c r="U16" s="35"/>
    </row>
    <row r="17" spans="1:28" customFormat="1" ht="18.75" customHeight="1" x14ac:dyDescent="0.15">
      <c r="A17" s="232"/>
      <c r="B17" s="79"/>
      <c r="C17" s="54"/>
      <c r="D17" s="55"/>
      <c r="E17" s="56"/>
      <c r="F17" s="57"/>
      <c r="G17" s="83"/>
      <c r="H17" s="87"/>
      <c r="I17" s="55"/>
      <c r="J17" s="57"/>
      <c r="K17" s="57"/>
      <c r="L17" s="57"/>
      <c r="M17" s="57"/>
      <c r="N17" s="91"/>
      <c r="O17" s="79"/>
      <c r="P17" s="58"/>
      <c r="Q17" s="55"/>
      <c r="R17" s="59"/>
      <c r="S17" s="56"/>
      <c r="T17" s="75"/>
      <c r="U17" s="35"/>
    </row>
    <row r="18" spans="1:28" s="35" customFormat="1" ht="18.75" customHeight="1" x14ac:dyDescent="0.15">
      <c r="A18" s="232"/>
      <c r="B18" s="80" t="s">
        <v>315</v>
      </c>
      <c r="C18" s="60" t="s">
        <v>114</v>
      </c>
      <c r="D18" s="61"/>
      <c r="E18" s="65">
        <v>30</v>
      </c>
      <c r="F18" s="62" t="s">
        <v>27</v>
      </c>
      <c r="G18" s="84"/>
      <c r="H18" s="88" t="s">
        <v>114</v>
      </c>
      <c r="I18" s="61"/>
      <c r="J18" s="62">
        <f>ROUNDUP(E18*0.75,2)</f>
        <v>22.5</v>
      </c>
      <c r="K18" s="62" t="s">
        <v>27</v>
      </c>
      <c r="L18" s="62"/>
      <c r="M18" s="62">
        <f>ROUNDUP((R5*E18)+(R6*J18)+(R7*(E18*2)),2)</f>
        <v>0</v>
      </c>
      <c r="N18" s="92">
        <f>M18</f>
        <v>0</v>
      </c>
      <c r="O18" s="80" t="s">
        <v>112</v>
      </c>
      <c r="P18" s="63" t="s">
        <v>33</v>
      </c>
      <c r="Q18" s="61"/>
      <c r="R18" s="64">
        <v>0.3</v>
      </c>
      <c r="S18" s="65">
        <f>ROUNDUP(R18*0.75,2)</f>
        <v>0.23</v>
      </c>
      <c r="T18" s="76">
        <f>ROUNDUP((R5*R18)+(R6*S18)+(R7*(R18*2)),2)</f>
        <v>0</v>
      </c>
      <c r="V18"/>
      <c r="W18"/>
      <c r="X18"/>
      <c r="Y18"/>
      <c r="Z18"/>
      <c r="AA18"/>
      <c r="AB18"/>
    </row>
    <row r="19" spans="1:28" s="35" customFormat="1" ht="18.75" customHeight="1" x14ac:dyDescent="0.15">
      <c r="A19" s="232"/>
      <c r="B19" s="80" t="s">
        <v>272</v>
      </c>
      <c r="C19" s="60" t="s">
        <v>115</v>
      </c>
      <c r="D19" s="61"/>
      <c r="E19" s="65">
        <v>20</v>
      </c>
      <c r="F19" s="62" t="s">
        <v>27</v>
      </c>
      <c r="G19" s="84"/>
      <c r="H19" s="88" t="s">
        <v>115</v>
      </c>
      <c r="I19" s="61"/>
      <c r="J19" s="62">
        <f>ROUNDUP(E19*0.75,2)</f>
        <v>15</v>
      </c>
      <c r="K19" s="62" t="s">
        <v>27</v>
      </c>
      <c r="L19" s="62"/>
      <c r="M19" s="62">
        <f>ROUNDUP((R5*E19)+(R6*J19)+(R7*(E19*2)),2)</f>
        <v>0</v>
      </c>
      <c r="N19" s="92">
        <f>ROUND(M19+(M19*10/100),2)</f>
        <v>0</v>
      </c>
      <c r="O19" s="80" t="s">
        <v>113</v>
      </c>
      <c r="P19" s="63" t="s">
        <v>35</v>
      </c>
      <c r="Q19" s="61" t="s">
        <v>36</v>
      </c>
      <c r="R19" s="64">
        <v>0.3</v>
      </c>
      <c r="S19" s="65">
        <f>ROUNDUP(R19*0.75,2)</f>
        <v>0.23</v>
      </c>
      <c r="T19" s="76">
        <f>ROUNDUP((R5*R19)+(R6*S19)+(R7*(R19*2)),2)</f>
        <v>0</v>
      </c>
      <c r="V19"/>
      <c r="W19"/>
      <c r="X19"/>
      <c r="Y19"/>
      <c r="Z19"/>
      <c r="AA19"/>
      <c r="AB19"/>
    </row>
    <row r="20" spans="1:28" s="35" customFormat="1" ht="18.75" customHeight="1" x14ac:dyDescent="0.15">
      <c r="A20" s="232"/>
      <c r="B20" s="80"/>
      <c r="C20" s="60" t="s">
        <v>116</v>
      </c>
      <c r="D20" s="61"/>
      <c r="E20" s="65">
        <v>2</v>
      </c>
      <c r="F20" s="62" t="s">
        <v>27</v>
      </c>
      <c r="G20" s="84"/>
      <c r="H20" s="88" t="s">
        <v>116</v>
      </c>
      <c r="I20" s="61"/>
      <c r="J20" s="62">
        <f>ROUNDUP(E20*0.75,2)</f>
        <v>1.5</v>
      </c>
      <c r="K20" s="62" t="s">
        <v>27</v>
      </c>
      <c r="L20" s="62"/>
      <c r="M20" s="62">
        <f>ROUNDUP((R5*E20)+(R6*J20)+(R7*(E20*2)),2)</f>
        <v>0</v>
      </c>
      <c r="N20" s="92">
        <f>M20</f>
        <v>0</v>
      </c>
      <c r="O20" s="80" t="s">
        <v>44</v>
      </c>
      <c r="P20" s="63" t="s">
        <v>40</v>
      </c>
      <c r="Q20" s="61" t="s">
        <v>41</v>
      </c>
      <c r="R20" s="64">
        <v>4</v>
      </c>
      <c r="S20" s="65">
        <f>ROUNDUP(R20*0.75,2)</f>
        <v>3</v>
      </c>
      <c r="T20" s="76">
        <f>ROUNDUP((R5*R20)+(R6*S20)+(R7*(R20*2)),2)</f>
        <v>0</v>
      </c>
      <c r="V20"/>
      <c r="W20"/>
      <c r="X20"/>
      <c r="Y20"/>
      <c r="Z20"/>
      <c r="AA20"/>
      <c r="AB20"/>
    </row>
    <row r="21" spans="1:28" s="35" customFormat="1" ht="18.75" customHeight="1" x14ac:dyDescent="0.15">
      <c r="A21" s="232"/>
      <c r="B21" s="80"/>
      <c r="C21" s="60"/>
      <c r="D21" s="61"/>
      <c r="E21" s="65"/>
      <c r="F21" s="62"/>
      <c r="G21" s="84"/>
      <c r="H21" s="88"/>
      <c r="I21" s="61"/>
      <c r="J21" s="62"/>
      <c r="K21" s="62"/>
      <c r="L21" s="62"/>
      <c r="M21" s="62"/>
      <c r="N21" s="92"/>
      <c r="O21" s="80"/>
      <c r="P21" s="63"/>
      <c r="Q21" s="61"/>
      <c r="R21" s="64"/>
      <c r="S21" s="65"/>
      <c r="T21" s="76"/>
      <c r="V21"/>
      <c r="W21"/>
      <c r="X21"/>
      <c r="Y21"/>
      <c r="Z21"/>
      <c r="AA21"/>
      <c r="AB21"/>
    </row>
    <row r="22" spans="1:28" s="35" customFormat="1" ht="18.75" customHeight="1" x14ac:dyDescent="0.15">
      <c r="A22" s="232"/>
      <c r="B22" s="79"/>
      <c r="C22" s="54"/>
      <c r="D22" s="55"/>
      <c r="E22" s="56"/>
      <c r="F22" s="57"/>
      <c r="G22" s="83"/>
      <c r="H22" s="87"/>
      <c r="I22" s="55"/>
      <c r="J22" s="57"/>
      <c r="K22" s="57"/>
      <c r="L22" s="57"/>
      <c r="M22" s="57"/>
      <c r="N22" s="91"/>
      <c r="O22" s="79"/>
      <c r="P22" s="58"/>
      <c r="Q22" s="55"/>
      <c r="R22" s="59"/>
      <c r="S22" s="56"/>
      <c r="T22" s="75"/>
      <c r="V22"/>
      <c r="W22"/>
      <c r="X22"/>
      <c r="Y22"/>
      <c r="Z22"/>
      <c r="AA22"/>
      <c r="AB22"/>
    </row>
    <row r="23" spans="1:28" s="35" customFormat="1" ht="18.75" customHeight="1" x14ac:dyDescent="0.15">
      <c r="A23" s="232"/>
      <c r="B23" s="80" t="s">
        <v>117</v>
      </c>
      <c r="C23" s="60" t="s">
        <v>118</v>
      </c>
      <c r="D23" s="61"/>
      <c r="E23" s="65">
        <v>25</v>
      </c>
      <c r="F23" s="62" t="s">
        <v>27</v>
      </c>
      <c r="G23" s="84"/>
      <c r="H23" s="88" t="s">
        <v>118</v>
      </c>
      <c r="I23" s="61"/>
      <c r="J23" s="62">
        <f>ROUNDUP(E23*0.75,2)</f>
        <v>18.75</v>
      </c>
      <c r="K23" s="62" t="s">
        <v>27</v>
      </c>
      <c r="L23" s="62"/>
      <c r="M23" s="62">
        <f>ROUNDUP((R5*E23)+(R6*J23)+(R7*(E23*2)),2)</f>
        <v>0</v>
      </c>
      <c r="N23" s="92">
        <f>M23</f>
        <v>0</v>
      </c>
      <c r="O23" s="80"/>
      <c r="P23" s="63"/>
      <c r="Q23" s="61"/>
      <c r="R23" s="64"/>
      <c r="S23" s="65"/>
      <c r="T23" s="76"/>
      <c r="V23"/>
      <c r="W23"/>
      <c r="X23"/>
      <c r="Y23"/>
      <c r="Z23"/>
      <c r="AA23"/>
      <c r="AB23"/>
    </row>
    <row r="24" spans="1:28" s="35" customFormat="1" ht="18.75" customHeight="1" thickBot="1" x14ac:dyDescent="0.2">
      <c r="A24" s="233"/>
      <c r="B24" s="81"/>
      <c r="C24" s="67"/>
      <c r="D24" s="68"/>
      <c r="E24" s="69"/>
      <c r="F24" s="70"/>
      <c r="G24" s="85"/>
      <c r="H24" s="89"/>
      <c r="I24" s="68"/>
      <c r="J24" s="70"/>
      <c r="K24" s="70"/>
      <c r="L24" s="70"/>
      <c r="M24" s="70"/>
      <c r="N24" s="93"/>
      <c r="O24" s="81"/>
      <c r="P24" s="71"/>
      <c r="Q24" s="68"/>
      <c r="R24" s="72"/>
      <c r="S24" s="69"/>
      <c r="T24" s="77"/>
      <c r="V24"/>
      <c r="W24"/>
      <c r="X24"/>
      <c r="Y24"/>
      <c r="Z24"/>
      <c r="AA24"/>
      <c r="AB24"/>
    </row>
  </sheetData>
  <mergeCells count="5">
    <mergeCell ref="H1:O1"/>
    <mergeCell ref="A2:T2"/>
    <mergeCell ref="Q3:T3"/>
    <mergeCell ref="A8:F8"/>
    <mergeCell ref="A10:A24"/>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56A4C-EF8A-4BC3-864C-32DBF5BD175F}">
  <sheetPr>
    <pageSetUpPr fitToPage="1"/>
  </sheetPr>
  <dimension ref="A1:U67"/>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270</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350</v>
      </c>
      <c r="C13" s="120" t="s">
        <v>93</v>
      </c>
      <c r="D13" s="120"/>
      <c r="E13" s="61"/>
      <c r="F13" s="61"/>
      <c r="G13" s="120"/>
      <c r="H13" s="119">
        <v>15</v>
      </c>
      <c r="I13" s="120" t="s">
        <v>351</v>
      </c>
      <c r="J13" s="127" t="s">
        <v>156</v>
      </c>
      <c r="K13" s="119">
        <v>10</v>
      </c>
      <c r="L13" s="120" t="s">
        <v>352</v>
      </c>
      <c r="M13" s="120" t="s">
        <v>30</v>
      </c>
      <c r="N13" s="119">
        <v>10</v>
      </c>
      <c r="O13" s="118"/>
    </row>
    <row r="14" spans="1:21" ht="14.25" x14ac:dyDescent="0.15">
      <c r="A14" s="255"/>
      <c r="B14" s="120"/>
      <c r="C14" s="120" t="s">
        <v>30</v>
      </c>
      <c r="D14" s="120"/>
      <c r="E14" s="61"/>
      <c r="F14" s="61"/>
      <c r="G14" s="120"/>
      <c r="H14" s="119">
        <v>10</v>
      </c>
      <c r="I14" s="120"/>
      <c r="J14" s="120" t="s">
        <v>30</v>
      </c>
      <c r="K14" s="119">
        <v>10</v>
      </c>
      <c r="L14" s="120"/>
      <c r="M14" s="120" t="s">
        <v>38</v>
      </c>
      <c r="N14" s="119">
        <v>10</v>
      </c>
      <c r="O14" s="118"/>
    </row>
    <row r="15" spans="1:21" ht="14.25" x14ac:dyDescent="0.15">
      <c r="A15" s="255"/>
      <c r="B15" s="120"/>
      <c r="C15" s="120" t="s">
        <v>38</v>
      </c>
      <c r="D15" s="120"/>
      <c r="E15" s="61"/>
      <c r="F15" s="61"/>
      <c r="G15" s="120"/>
      <c r="H15" s="119">
        <v>20</v>
      </c>
      <c r="I15" s="120"/>
      <c r="J15" s="120" t="s">
        <v>38</v>
      </c>
      <c r="K15" s="119">
        <v>15</v>
      </c>
      <c r="L15" s="120"/>
      <c r="M15" s="120" t="s">
        <v>31</v>
      </c>
      <c r="N15" s="119">
        <v>5</v>
      </c>
      <c r="O15" s="118"/>
    </row>
    <row r="16" spans="1:21" ht="14.25" x14ac:dyDescent="0.15">
      <c r="A16" s="255"/>
      <c r="B16" s="120"/>
      <c r="C16" s="120" t="s">
        <v>31</v>
      </c>
      <c r="D16" s="120"/>
      <c r="E16" s="61"/>
      <c r="F16" s="61"/>
      <c r="G16" s="120"/>
      <c r="H16" s="119">
        <v>5</v>
      </c>
      <c r="I16" s="120"/>
      <c r="J16" s="120" t="s">
        <v>31</v>
      </c>
      <c r="K16" s="119">
        <v>5</v>
      </c>
      <c r="L16" s="123"/>
      <c r="M16" s="123"/>
      <c r="N16" s="122"/>
      <c r="O16" s="126"/>
    </row>
    <row r="17" spans="1:15" ht="14.25" x14ac:dyDescent="0.15">
      <c r="A17" s="255"/>
      <c r="B17" s="120"/>
      <c r="C17" s="120" t="s">
        <v>55</v>
      </c>
      <c r="D17" s="120"/>
      <c r="E17" s="61" t="s">
        <v>52</v>
      </c>
      <c r="F17" s="61"/>
      <c r="G17" s="120"/>
      <c r="H17" s="119">
        <v>20</v>
      </c>
      <c r="I17" s="120"/>
      <c r="J17" s="120" t="s">
        <v>55</v>
      </c>
      <c r="K17" s="119">
        <v>15</v>
      </c>
      <c r="L17" s="120" t="s">
        <v>342</v>
      </c>
      <c r="M17" s="120" t="s">
        <v>114</v>
      </c>
      <c r="N17" s="119">
        <v>10</v>
      </c>
      <c r="O17" s="118"/>
    </row>
    <row r="18" spans="1:15" ht="14.25" x14ac:dyDescent="0.15">
      <c r="A18" s="255"/>
      <c r="B18" s="120"/>
      <c r="C18" s="120"/>
      <c r="D18" s="120"/>
      <c r="E18" s="61"/>
      <c r="F18" s="61"/>
      <c r="G18" s="120" t="s">
        <v>53</v>
      </c>
      <c r="H18" s="119" t="s">
        <v>439</v>
      </c>
      <c r="I18" s="120"/>
      <c r="J18" s="120"/>
      <c r="K18" s="119"/>
      <c r="L18" s="120"/>
      <c r="M18" s="120"/>
      <c r="N18" s="119"/>
      <c r="O18" s="118"/>
    </row>
    <row r="19" spans="1:15" ht="14.25" x14ac:dyDescent="0.15">
      <c r="A19" s="255"/>
      <c r="B19" s="120"/>
      <c r="C19" s="120"/>
      <c r="D19" s="120"/>
      <c r="E19" s="61"/>
      <c r="F19" s="61"/>
      <c r="G19" s="120" t="s">
        <v>42</v>
      </c>
      <c r="H19" s="119" t="s">
        <v>438</v>
      </c>
      <c r="I19" s="120"/>
      <c r="J19" s="120"/>
      <c r="K19" s="119"/>
      <c r="L19" s="120"/>
      <c r="M19" s="120"/>
      <c r="N19" s="119"/>
      <c r="O19" s="118"/>
    </row>
    <row r="20" spans="1:15" ht="14.25" x14ac:dyDescent="0.15">
      <c r="A20" s="255"/>
      <c r="B20" s="123"/>
      <c r="C20" s="123"/>
      <c r="D20" s="123"/>
      <c r="E20" s="55"/>
      <c r="F20" s="55"/>
      <c r="G20" s="123"/>
      <c r="H20" s="122"/>
      <c r="I20" s="123"/>
      <c r="J20" s="123"/>
      <c r="K20" s="122"/>
      <c r="L20" s="120"/>
      <c r="M20" s="120"/>
      <c r="N20" s="119"/>
      <c r="O20" s="118"/>
    </row>
    <row r="21" spans="1:15" ht="14.25" x14ac:dyDescent="0.15">
      <c r="A21" s="255"/>
      <c r="B21" s="120" t="s">
        <v>340</v>
      </c>
      <c r="C21" s="120" t="s">
        <v>114</v>
      </c>
      <c r="D21" s="120"/>
      <c r="E21" s="61"/>
      <c r="F21" s="61"/>
      <c r="G21" s="120"/>
      <c r="H21" s="119">
        <v>10</v>
      </c>
      <c r="I21" s="120" t="s">
        <v>341</v>
      </c>
      <c r="J21" s="120" t="s">
        <v>114</v>
      </c>
      <c r="K21" s="119">
        <v>10</v>
      </c>
      <c r="L21" s="120"/>
      <c r="M21" s="120"/>
      <c r="N21" s="119"/>
      <c r="O21" s="118"/>
    </row>
    <row r="22" spans="1:15" ht="14.25" x14ac:dyDescent="0.15">
      <c r="A22" s="255"/>
      <c r="B22" s="120"/>
      <c r="C22" s="120" t="s">
        <v>115</v>
      </c>
      <c r="D22" s="120"/>
      <c r="E22" s="61"/>
      <c r="F22" s="61"/>
      <c r="G22" s="120"/>
      <c r="H22" s="119">
        <v>10</v>
      </c>
      <c r="I22" s="120"/>
      <c r="J22" s="120"/>
      <c r="K22" s="119"/>
      <c r="L22" s="120"/>
      <c r="M22" s="120"/>
      <c r="N22" s="119"/>
      <c r="O22" s="118"/>
    </row>
    <row r="23" spans="1:15" ht="15" thickBot="1" x14ac:dyDescent="0.2">
      <c r="A23" s="256"/>
      <c r="B23" s="117"/>
      <c r="C23" s="117"/>
      <c r="D23" s="117"/>
      <c r="E23" s="68"/>
      <c r="F23" s="154"/>
      <c r="G23" s="117"/>
      <c r="H23" s="116"/>
      <c r="I23" s="117"/>
      <c r="J23" s="117"/>
      <c r="K23" s="116"/>
      <c r="L23" s="117"/>
      <c r="M23" s="117"/>
      <c r="N23" s="116"/>
      <c r="O23" s="115"/>
    </row>
    <row r="24" spans="1:15" ht="14.25" x14ac:dyDescent="0.15">
      <c r="B24" s="114"/>
      <c r="C24" s="114"/>
      <c r="D24" s="114"/>
      <c r="G24" s="114"/>
      <c r="H24" s="113"/>
      <c r="I24" s="114"/>
      <c r="J24" s="114"/>
      <c r="K24" s="113"/>
      <c r="L24" s="114"/>
      <c r="M24" s="114"/>
      <c r="N24" s="113"/>
    </row>
    <row r="25" spans="1:15" ht="14.25" x14ac:dyDescent="0.15">
      <c r="B25" s="114"/>
      <c r="C25" s="114"/>
      <c r="D25" s="114"/>
      <c r="G25" s="114"/>
      <c r="H25" s="113"/>
      <c r="I25" s="114"/>
      <c r="J25" s="114"/>
      <c r="K25" s="113"/>
      <c r="L25" s="114"/>
      <c r="M25" s="114"/>
      <c r="N25" s="113"/>
    </row>
    <row r="26" spans="1:15" ht="14.25" x14ac:dyDescent="0.15">
      <c r="B26" s="114"/>
      <c r="C26" s="114"/>
      <c r="D26" s="114"/>
      <c r="G26" s="114"/>
      <c r="H26" s="113"/>
      <c r="I26" s="114"/>
      <c r="J26" s="114"/>
      <c r="K26" s="113"/>
      <c r="L26" s="114"/>
      <c r="M26" s="114"/>
      <c r="N26" s="113"/>
    </row>
    <row r="27" spans="1:15" ht="14.25" x14ac:dyDescent="0.15">
      <c r="B27" s="114"/>
      <c r="C27" s="114"/>
      <c r="D27" s="114"/>
      <c r="G27" s="114"/>
      <c r="H27" s="113"/>
      <c r="I27" s="114"/>
      <c r="J27" s="114"/>
      <c r="K27" s="113"/>
      <c r="L27" s="114"/>
      <c r="M27" s="114"/>
      <c r="N27" s="113"/>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row r="61" spans="2:14" ht="14.25" x14ac:dyDescent="0.15">
      <c r="B61" s="114"/>
      <c r="C61" s="114"/>
      <c r="D61" s="114"/>
      <c r="G61" s="114"/>
      <c r="H61" s="113"/>
      <c r="I61" s="114"/>
      <c r="J61" s="114"/>
      <c r="K61" s="113"/>
      <c r="L61" s="114"/>
      <c r="M61" s="114"/>
      <c r="N61" s="113"/>
    </row>
    <row r="62" spans="2:14" ht="14.25" x14ac:dyDescent="0.15">
      <c r="B62" s="114"/>
      <c r="C62" s="114"/>
      <c r="D62" s="114"/>
      <c r="G62" s="114"/>
      <c r="H62" s="113"/>
      <c r="I62" s="114"/>
      <c r="J62" s="114"/>
      <c r="K62" s="113"/>
      <c r="L62" s="114"/>
      <c r="M62" s="114"/>
      <c r="N62" s="113"/>
    </row>
    <row r="63" spans="2:14" ht="14.25" x14ac:dyDescent="0.15">
      <c r="B63" s="114"/>
      <c r="C63" s="114"/>
      <c r="D63" s="114"/>
      <c r="G63" s="114"/>
      <c r="H63" s="113"/>
      <c r="I63" s="114"/>
      <c r="J63" s="114"/>
      <c r="K63" s="113"/>
      <c r="L63" s="114"/>
      <c r="M63" s="114"/>
      <c r="N63" s="113"/>
    </row>
    <row r="64" spans="2:14" ht="14.25" x14ac:dyDescent="0.15">
      <c r="B64" s="114"/>
      <c r="C64" s="114"/>
      <c r="D64" s="114"/>
      <c r="G64" s="114"/>
      <c r="H64" s="113"/>
      <c r="I64" s="114"/>
      <c r="J64" s="114"/>
      <c r="K64" s="113"/>
      <c r="L64" s="114"/>
      <c r="M64" s="114"/>
      <c r="N64" s="113"/>
    </row>
    <row r="65" spans="2:14" ht="14.25" x14ac:dyDescent="0.15">
      <c r="B65" s="114"/>
      <c r="C65" s="114"/>
      <c r="D65" s="114"/>
      <c r="G65" s="114"/>
      <c r="H65" s="113"/>
      <c r="I65" s="114"/>
      <c r="J65" s="114"/>
      <c r="K65" s="113"/>
      <c r="L65" s="114"/>
      <c r="M65" s="114"/>
      <c r="N65" s="113"/>
    </row>
    <row r="66" spans="2:14" ht="14.25" x14ac:dyDescent="0.15">
      <c r="B66" s="114"/>
      <c r="C66" s="114"/>
      <c r="D66" s="114"/>
      <c r="G66" s="114"/>
      <c r="H66" s="113"/>
      <c r="I66" s="114"/>
      <c r="J66" s="114"/>
      <c r="K66" s="113"/>
      <c r="L66" s="114"/>
      <c r="M66" s="114"/>
      <c r="N66" s="113"/>
    </row>
    <row r="67" spans="2:14" ht="14.25" x14ac:dyDescent="0.15">
      <c r="B67" s="114"/>
      <c r="C67" s="114"/>
      <c r="D67" s="114"/>
      <c r="G67" s="114"/>
      <c r="H67" s="113"/>
      <c r="I67" s="114"/>
      <c r="J67" s="114"/>
      <c r="K67" s="113"/>
      <c r="L67" s="114"/>
      <c r="M67" s="114"/>
      <c r="N67" s="113"/>
    </row>
  </sheetData>
  <mergeCells count="15">
    <mergeCell ref="L8:N8"/>
    <mergeCell ref="O8:O10"/>
    <mergeCell ref="I9:K9"/>
    <mergeCell ref="L9:N9"/>
    <mergeCell ref="A11:A23"/>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4"/>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104</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105</v>
      </c>
      <c r="C10" s="48" t="s">
        <v>93</v>
      </c>
      <c r="D10" s="49"/>
      <c r="E10" s="50">
        <v>30</v>
      </c>
      <c r="F10" s="51" t="s">
        <v>27</v>
      </c>
      <c r="G10" s="82"/>
      <c r="H10" s="86" t="s">
        <v>93</v>
      </c>
      <c r="I10" s="49"/>
      <c r="J10" s="51">
        <f t="shared" ref="J10:J15" si="0">ROUNDUP(E10*0.75,2)</f>
        <v>22.5</v>
      </c>
      <c r="K10" s="51" t="s">
        <v>27</v>
      </c>
      <c r="L10" s="51"/>
      <c r="M10" s="51">
        <f>ROUNDUP((R5*E10)+(R6*J10)+(R7*(E10*2)),2)</f>
        <v>0</v>
      </c>
      <c r="N10" s="90">
        <f>M10</f>
        <v>0</v>
      </c>
      <c r="O10" s="78" t="s">
        <v>106</v>
      </c>
      <c r="P10" s="52" t="s">
        <v>23</v>
      </c>
      <c r="Q10" s="49"/>
      <c r="R10" s="53">
        <v>110</v>
      </c>
      <c r="S10" s="50">
        <f t="shared" ref="S10:S15" si="1">ROUNDUP(R10*0.75,2)</f>
        <v>82.5</v>
      </c>
      <c r="T10" s="74">
        <f>ROUNDUP((R5*R10)+(R6*S10)+(R7*(R10*2)),2)</f>
        <v>0</v>
      </c>
    </row>
    <row r="11" spans="1:21" ht="18.75" customHeight="1" x14ac:dyDescent="0.15">
      <c r="A11" s="232"/>
      <c r="B11" s="80"/>
      <c r="C11" s="60" t="s">
        <v>30</v>
      </c>
      <c r="D11" s="61"/>
      <c r="E11" s="65">
        <v>30</v>
      </c>
      <c r="F11" s="62" t="s">
        <v>27</v>
      </c>
      <c r="G11" s="84"/>
      <c r="H11" s="88" t="s">
        <v>30</v>
      </c>
      <c r="I11" s="61"/>
      <c r="J11" s="62">
        <f t="shared" si="0"/>
        <v>22.5</v>
      </c>
      <c r="K11" s="62" t="s">
        <v>27</v>
      </c>
      <c r="L11" s="62"/>
      <c r="M11" s="62">
        <f>ROUNDUP((R5*E11)+(R6*J11)+(R7*(E11*2)),2)</f>
        <v>0</v>
      </c>
      <c r="N11" s="92">
        <f>ROUND(M11+(M11*6/100),2)</f>
        <v>0</v>
      </c>
      <c r="O11" s="80" t="s">
        <v>107</v>
      </c>
      <c r="P11" s="63" t="s">
        <v>65</v>
      </c>
      <c r="Q11" s="61"/>
      <c r="R11" s="64">
        <v>0.5</v>
      </c>
      <c r="S11" s="65">
        <f t="shared" si="1"/>
        <v>0.38</v>
      </c>
      <c r="T11" s="76">
        <f>ROUNDUP((R5*R11)+(R6*S11)+(R7*(R11*2)),2)</f>
        <v>0</v>
      </c>
    </row>
    <row r="12" spans="1:21" ht="18.75" customHeight="1" x14ac:dyDescent="0.15">
      <c r="A12" s="232"/>
      <c r="B12" s="80"/>
      <c r="C12" s="60" t="s">
        <v>38</v>
      </c>
      <c r="D12" s="61"/>
      <c r="E12" s="65">
        <v>40</v>
      </c>
      <c r="F12" s="62" t="s">
        <v>27</v>
      </c>
      <c r="G12" s="84"/>
      <c r="H12" s="88" t="s">
        <v>38</v>
      </c>
      <c r="I12" s="61"/>
      <c r="J12" s="62">
        <f t="shared" si="0"/>
        <v>30</v>
      </c>
      <c r="K12" s="62" t="s">
        <v>27</v>
      </c>
      <c r="L12" s="62"/>
      <c r="M12" s="62">
        <f>ROUNDUP((R5*E12)+(R6*J12)+(R7*(E12*2)),2)</f>
        <v>0</v>
      </c>
      <c r="N12" s="92">
        <f>ROUND(M12+(M12*10/100),2)</f>
        <v>0</v>
      </c>
      <c r="O12" s="80" t="s">
        <v>108</v>
      </c>
      <c r="P12" s="63" t="s">
        <v>64</v>
      </c>
      <c r="Q12" s="61"/>
      <c r="R12" s="64">
        <v>2</v>
      </c>
      <c r="S12" s="65">
        <f t="shared" si="1"/>
        <v>1.5</v>
      </c>
      <c r="T12" s="76">
        <f>ROUNDUP((R5*R12)+(R6*S12)+(R7*(R12*2)),2)</f>
        <v>0</v>
      </c>
    </row>
    <row r="13" spans="1:21" ht="18.75" customHeight="1" x14ac:dyDescent="0.15">
      <c r="A13" s="232"/>
      <c r="B13" s="80"/>
      <c r="C13" s="60" t="s">
        <v>31</v>
      </c>
      <c r="D13" s="61"/>
      <c r="E13" s="65">
        <v>10</v>
      </c>
      <c r="F13" s="62" t="s">
        <v>27</v>
      </c>
      <c r="G13" s="84"/>
      <c r="H13" s="88" t="s">
        <v>31</v>
      </c>
      <c r="I13" s="61"/>
      <c r="J13" s="62">
        <f t="shared" si="0"/>
        <v>7.5</v>
      </c>
      <c r="K13" s="62" t="s">
        <v>27</v>
      </c>
      <c r="L13" s="62"/>
      <c r="M13" s="62">
        <f>ROUNDUP((R5*E13)+(R6*J13)+(R7*(E13*2)),2)</f>
        <v>0</v>
      </c>
      <c r="N13" s="92">
        <f>ROUND(M13+(M13*10/100),2)</f>
        <v>0</v>
      </c>
      <c r="O13" s="80" t="s">
        <v>109</v>
      </c>
      <c r="P13" s="63" t="s">
        <v>53</v>
      </c>
      <c r="Q13" s="61"/>
      <c r="R13" s="64">
        <v>40</v>
      </c>
      <c r="S13" s="65">
        <f t="shared" si="1"/>
        <v>30</v>
      </c>
      <c r="T13" s="76">
        <f>ROUNDUP((R5*R13)+(R6*S13)+(R7*(R13*2)),2)</f>
        <v>0</v>
      </c>
    </row>
    <row r="14" spans="1:21" ht="18.75" customHeight="1" x14ac:dyDescent="0.15">
      <c r="A14" s="232"/>
      <c r="B14" s="80"/>
      <c r="C14" s="60" t="s">
        <v>110</v>
      </c>
      <c r="D14" s="61" t="s">
        <v>36</v>
      </c>
      <c r="E14" s="65">
        <v>9</v>
      </c>
      <c r="F14" s="62" t="s">
        <v>27</v>
      </c>
      <c r="G14" s="84"/>
      <c r="H14" s="88" t="s">
        <v>110</v>
      </c>
      <c r="I14" s="61" t="s">
        <v>36</v>
      </c>
      <c r="J14" s="62">
        <f t="shared" si="0"/>
        <v>6.75</v>
      </c>
      <c r="K14" s="62" t="s">
        <v>27</v>
      </c>
      <c r="L14" s="62"/>
      <c r="M14" s="62">
        <f>ROUNDUP((R5*E14)+(R6*J14)+(R7*(E14*2)),2)</f>
        <v>0</v>
      </c>
      <c r="N14" s="92">
        <f>M14</f>
        <v>0</v>
      </c>
      <c r="O14" s="99" t="s">
        <v>301</v>
      </c>
      <c r="P14" s="63" t="s">
        <v>33</v>
      </c>
      <c r="Q14" s="61"/>
      <c r="R14" s="64">
        <v>0.5</v>
      </c>
      <c r="S14" s="65">
        <f t="shared" si="1"/>
        <v>0.38</v>
      </c>
      <c r="T14" s="76">
        <f>ROUNDUP((R5*R14)+(R6*S14)+(R7*(R14*2)),2)</f>
        <v>0</v>
      </c>
    </row>
    <row r="15" spans="1:21" ht="18.75" customHeight="1" x14ac:dyDescent="0.15">
      <c r="A15" s="232"/>
      <c r="B15" s="80"/>
      <c r="C15" s="60" t="s">
        <v>55</v>
      </c>
      <c r="D15" s="61" t="s">
        <v>52</v>
      </c>
      <c r="E15" s="65">
        <v>30</v>
      </c>
      <c r="F15" s="62" t="s">
        <v>56</v>
      </c>
      <c r="G15" s="84"/>
      <c r="H15" s="88" t="s">
        <v>55</v>
      </c>
      <c r="I15" s="61" t="s">
        <v>52</v>
      </c>
      <c r="J15" s="62">
        <f t="shared" si="0"/>
        <v>22.5</v>
      </c>
      <c r="K15" s="62" t="s">
        <v>56</v>
      </c>
      <c r="L15" s="62"/>
      <c r="M15" s="62">
        <f>ROUNDUP((R5*E15)+(R6*J15)+(R7*(E15*2)),2)</f>
        <v>0</v>
      </c>
      <c r="N15" s="92">
        <f>M15</f>
        <v>0</v>
      </c>
      <c r="O15" s="100" t="s">
        <v>302</v>
      </c>
      <c r="P15" s="63" t="s">
        <v>111</v>
      </c>
      <c r="Q15" s="61"/>
      <c r="R15" s="64">
        <v>2</v>
      </c>
      <c r="S15" s="65">
        <f t="shared" si="1"/>
        <v>1.5</v>
      </c>
      <c r="T15" s="76">
        <f>ROUNDUP((R5*R15)+(R6*S15)+(R7*(R15*2)),2)</f>
        <v>0</v>
      </c>
    </row>
    <row r="16" spans="1:21" ht="18.75" customHeight="1" x14ac:dyDescent="0.15">
      <c r="A16" s="232"/>
      <c r="B16" s="80"/>
      <c r="C16" s="60"/>
      <c r="D16" s="61"/>
      <c r="E16" s="65"/>
      <c r="F16" s="62"/>
      <c r="G16" s="84"/>
      <c r="H16" s="88"/>
      <c r="I16" s="61"/>
      <c r="J16" s="62"/>
      <c r="K16" s="62"/>
      <c r="L16" s="62"/>
      <c r="M16" s="62"/>
      <c r="N16" s="92"/>
      <c r="O16" s="80" t="s">
        <v>24</v>
      </c>
      <c r="P16" s="63"/>
      <c r="Q16" s="61"/>
      <c r="R16" s="64"/>
      <c r="S16" s="65"/>
      <c r="T16" s="76"/>
    </row>
    <row r="17" spans="1:20" ht="18.75" customHeight="1" x14ac:dyDescent="0.15">
      <c r="A17" s="232"/>
      <c r="B17" s="79"/>
      <c r="C17" s="54"/>
      <c r="D17" s="55"/>
      <c r="E17" s="56"/>
      <c r="F17" s="57"/>
      <c r="G17" s="83"/>
      <c r="H17" s="87"/>
      <c r="I17" s="55"/>
      <c r="J17" s="57"/>
      <c r="K17" s="57"/>
      <c r="L17" s="57"/>
      <c r="M17" s="57"/>
      <c r="N17" s="91"/>
      <c r="O17" s="79"/>
      <c r="P17" s="58"/>
      <c r="Q17" s="55"/>
      <c r="R17" s="59"/>
      <c r="S17" s="56"/>
      <c r="T17" s="75"/>
    </row>
    <row r="18" spans="1:20" ht="18.75" customHeight="1" x14ac:dyDescent="0.15">
      <c r="A18" s="232"/>
      <c r="B18" s="80" t="s">
        <v>303</v>
      </c>
      <c r="C18" s="60" t="s">
        <v>114</v>
      </c>
      <c r="D18" s="61"/>
      <c r="E18" s="65">
        <v>30</v>
      </c>
      <c r="F18" s="62" t="s">
        <v>27</v>
      </c>
      <c r="G18" s="84"/>
      <c r="H18" s="88" t="s">
        <v>114</v>
      </c>
      <c r="I18" s="61"/>
      <c r="J18" s="62">
        <f>ROUNDUP(E18*0.75,2)</f>
        <v>22.5</v>
      </c>
      <c r="K18" s="62" t="s">
        <v>27</v>
      </c>
      <c r="L18" s="62"/>
      <c r="M18" s="62">
        <f>ROUNDUP((R5*E18)+(R6*J18)+(R7*(E18*2)),2)</f>
        <v>0</v>
      </c>
      <c r="N18" s="92">
        <f>M18</f>
        <v>0</v>
      </c>
      <c r="O18" s="80" t="s">
        <v>112</v>
      </c>
      <c r="P18" s="63" t="s">
        <v>33</v>
      </c>
      <c r="Q18" s="61"/>
      <c r="R18" s="64">
        <v>0.3</v>
      </c>
      <c r="S18" s="65">
        <f>ROUNDUP(R18*0.75,2)</f>
        <v>0.23</v>
      </c>
      <c r="T18" s="76">
        <f>ROUNDUP((R5*R18)+(R6*S18)+(R7*(R18*2)),2)</f>
        <v>0</v>
      </c>
    </row>
    <row r="19" spans="1:20" ht="18.75" customHeight="1" x14ac:dyDescent="0.15">
      <c r="A19" s="232"/>
      <c r="B19" s="80" t="s">
        <v>272</v>
      </c>
      <c r="C19" s="60" t="s">
        <v>115</v>
      </c>
      <c r="D19" s="61"/>
      <c r="E19" s="65">
        <v>20</v>
      </c>
      <c r="F19" s="62" t="s">
        <v>27</v>
      </c>
      <c r="G19" s="84"/>
      <c r="H19" s="88" t="s">
        <v>115</v>
      </c>
      <c r="I19" s="61"/>
      <c r="J19" s="62">
        <f>ROUNDUP(E19*0.75,2)</f>
        <v>15</v>
      </c>
      <c r="K19" s="62" t="s">
        <v>27</v>
      </c>
      <c r="L19" s="62"/>
      <c r="M19" s="62">
        <f>ROUNDUP((R5*E19)+(R6*J19)+(R7*(E19*2)),2)</f>
        <v>0</v>
      </c>
      <c r="N19" s="92">
        <f>ROUND(M19+(M19*10/100),2)</f>
        <v>0</v>
      </c>
      <c r="O19" s="80" t="s">
        <v>113</v>
      </c>
      <c r="P19" s="63" t="s">
        <v>35</v>
      </c>
      <c r="Q19" s="61" t="s">
        <v>36</v>
      </c>
      <c r="R19" s="64">
        <v>0.3</v>
      </c>
      <c r="S19" s="65">
        <f>ROUNDUP(R19*0.75,2)</f>
        <v>0.23</v>
      </c>
      <c r="T19" s="76">
        <f>ROUNDUP((R5*R19)+(R6*S19)+(R7*(R19*2)),2)</f>
        <v>0</v>
      </c>
    </row>
    <row r="20" spans="1:20" ht="18.75" customHeight="1" x14ac:dyDescent="0.15">
      <c r="A20" s="232"/>
      <c r="B20" s="80"/>
      <c r="C20" s="60" t="s">
        <v>116</v>
      </c>
      <c r="D20" s="61"/>
      <c r="E20" s="65">
        <v>2</v>
      </c>
      <c r="F20" s="62" t="s">
        <v>27</v>
      </c>
      <c r="G20" s="84"/>
      <c r="H20" s="88" t="s">
        <v>116</v>
      </c>
      <c r="I20" s="61"/>
      <c r="J20" s="62">
        <f>ROUNDUP(E20*0.75,2)</f>
        <v>1.5</v>
      </c>
      <c r="K20" s="62" t="s">
        <v>27</v>
      </c>
      <c r="L20" s="62"/>
      <c r="M20" s="62">
        <f>ROUNDUP((R5*E20)+(R6*J20)+(R7*(E20*2)),2)</f>
        <v>0</v>
      </c>
      <c r="N20" s="92">
        <f>M20</f>
        <v>0</v>
      </c>
      <c r="O20" s="80" t="s">
        <v>44</v>
      </c>
      <c r="P20" s="63" t="s">
        <v>40</v>
      </c>
      <c r="Q20" s="61" t="s">
        <v>41</v>
      </c>
      <c r="R20" s="64">
        <v>4</v>
      </c>
      <c r="S20" s="65">
        <f>ROUNDUP(R20*0.75,2)</f>
        <v>3</v>
      </c>
      <c r="T20" s="76">
        <f>ROUNDUP((R5*R20)+(R6*S20)+(R7*(R20*2)),2)</f>
        <v>0</v>
      </c>
    </row>
    <row r="21" spans="1:20" ht="18.75" customHeight="1" x14ac:dyDescent="0.15">
      <c r="A21" s="232"/>
      <c r="B21" s="80"/>
      <c r="C21" s="60"/>
      <c r="D21" s="61"/>
      <c r="E21" s="65"/>
      <c r="F21" s="62"/>
      <c r="G21" s="84"/>
      <c r="H21" s="88"/>
      <c r="I21" s="61"/>
      <c r="J21" s="62"/>
      <c r="K21" s="62"/>
      <c r="L21" s="62"/>
      <c r="M21" s="62"/>
      <c r="N21" s="92"/>
      <c r="O21" s="80"/>
      <c r="P21" s="63"/>
      <c r="Q21" s="61"/>
      <c r="R21" s="64"/>
      <c r="S21" s="65"/>
      <c r="T21" s="76"/>
    </row>
    <row r="22" spans="1:20" ht="18.75" customHeight="1" x14ac:dyDescent="0.15">
      <c r="A22" s="232"/>
      <c r="B22" s="79"/>
      <c r="C22" s="54"/>
      <c r="D22" s="55"/>
      <c r="E22" s="56"/>
      <c r="F22" s="57"/>
      <c r="G22" s="83"/>
      <c r="H22" s="87"/>
      <c r="I22" s="55"/>
      <c r="J22" s="57"/>
      <c r="K22" s="57"/>
      <c r="L22" s="57"/>
      <c r="M22" s="57"/>
      <c r="N22" s="91"/>
      <c r="O22" s="79"/>
      <c r="P22" s="58"/>
      <c r="Q22" s="55"/>
      <c r="R22" s="59"/>
      <c r="S22" s="56"/>
      <c r="T22" s="75"/>
    </row>
    <row r="23" spans="1:20" ht="18.75" customHeight="1" x14ac:dyDescent="0.15">
      <c r="A23" s="232"/>
      <c r="B23" s="80" t="s">
        <v>117</v>
      </c>
      <c r="C23" s="60" t="s">
        <v>118</v>
      </c>
      <c r="D23" s="61"/>
      <c r="E23" s="65">
        <v>25</v>
      </c>
      <c r="F23" s="62" t="s">
        <v>27</v>
      </c>
      <c r="G23" s="84"/>
      <c r="H23" s="88" t="s">
        <v>118</v>
      </c>
      <c r="I23" s="61"/>
      <c r="J23" s="62">
        <f>ROUNDUP(E23*0.75,2)</f>
        <v>18.75</v>
      </c>
      <c r="K23" s="62" t="s">
        <v>27</v>
      </c>
      <c r="L23" s="62"/>
      <c r="M23" s="62">
        <f>ROUNDUP((R5*E23)+(R6*J23)+(R7*(E23*2)),2)</f>
        <v>0</v>
      </c>
      <c r="N23" s="92">
        <f>M23</f>
        <v>0</v>
      </c>
      <c r="O23" s="80"/>
      <c r="P23" s="63"/>
      <c r="Q23" s="61"/>
      <c r="R23" s="64"/>
      <c r="S23" s="65"/>
      <c r="T23" s="76"/>
    </row>
    <row r="24" spans="1:20" ht="18.75" customHeight="1" thickBot="1" x14ac:dyDescent="0.2">
      <c r="A24" s="233"/>
      <c r="B24" s="81"/>
      <c r="C24" s="67"/>
      <c r="D24" s="68"/>
      <c r="E24" s="69"/>
      <c r="F24" s="70"/>
      <c r="G24" s="85"/>
      <c r="H24" s="89"/>
      <c r="I24" s="68"/>
      <c r="J24" s="70"/>
      <c r="K24" s="70"/>
      <c r="L24" s="70"/>
      <c r="M24" s="70"/>
      <c r="N24" s="93"/>
      <c r="O24" s="81"/>
      <c r="P24" s="71"/>
      <c r="Q24" s="68"/>
      <c r="R24" s="72"/>
      <c r="S24" s="69"/>
      <c r="T24" s="77"/>
    </row>
  </sheetData>
  <mergeCells count="5">
    <mergeCell ref="H1:O1"/>
    <mergeCell ref="A2:T2"/>
    <mergeCell ref="Q3:T3"/>
    <mergeCell ref="A8:F8"/>
    <mergeCell ref="A10:A24"/>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53A22-A0C3-4ED2-BD4B-5F6D42605C27}">
  <sheetPr>
    <pageSetUpPr fitToPage="1"/>
  </sheetPr>
  <dimension ref="A1:U65"/>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104</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350</v>
      </c>
      <c r="C13" s="120" t="s">
        <v>93</v>
      </c>
      <c r="D13" s="120"/>
      <c r="E13" s="61"/>
      <c r="F13" s="61"/>
      <c r="G13" s="120"/>
      <c r="H13" s="119">
        <v>15</v>
      </c>
      <c r="I13" s="120" t="s">
        <v>351</v>
      </c>
      <c r="J13" s="127" t="s">
        <v>156</v>
      </c>
      <c r="K13" s="119">
        <v>10</v>
      </c>
      <c r="L13" s="120" t="s">
        <v>352</v>
      </c>
      <c r="M13" s="120" t="s">
        <v>30</v>
      </c>
      <c r="N13" s="119">
        <v>10</v>
      </c>
      <c r="O13" s="118"/>
    </row>
    <row r="14" spans="1:21" ht="14.25" x14ac:dyDescent="0.15">
      <c r="A14" s="255"/>
      <c r="B14" s="120"/>
      <c r="C14" s="120" t="s">
        <v>30</v>
      </c>
      <c r="D14" s="120"/>
      <c r="E14" s="61"/>
      <c r="F14" s="61"/>
      <c r="G14" s="120"/>
      <c r="H14" s="119">
        <v>10</v>
      </c>
      <c r="I14" s="120"/>
      <c r="J14" s="120" t="s">
        <v>30</v>
      </c>
      <c r="K14" s="119">
        <v>10</v>
      </c>
      <c r="L14" s="120"/>
      <c r="M14" s="120" t="s">
        <v>38</v>
      </c>
      <c r="N14" s="119">
        <v>10</v>
      </c>
      <c r="O14" s="118"/>
    </row>
    <row r="15" spans="1:21" ht="14.25" x14ac:dyDescent="0.15">
      <c r="A15" s="255"/>
      <c r="B15" s="120"/>
      <c r="C15" s="120" t="s">
        <v>38</v>
      </c>
      <c r="D15" s="120"/>
      <c r="E15" s="61"/>
      <c r="F15" s="61"/>
      <c r="G15" s="120"/>
      <c r="H15" s="119">
        <v>20</v>
      </c>
      <c r="I15" s="120"/>
      <c r="J15" s="120" t="s">
        <v>38</v>
      </c>
      <c r="K15" s="119">
        <v>15</v>
      </c>
      <c r="L15" s="120"/>
      <c r="M15" s="120" t="s">
        <v>31</v>
      </c>
      <c r="N15" s="119">
        <v>5</v>
      </c>
      <c r="O15" s="118"/>
    </row>
    <row r="16" spans="1:21" ht="14.25" x14ac:dyDescent="0.15">
      <c r="A16" s="255"/>
      <c r="B16" s="120"/>
      <c r="C16" s="120" t="s">
        <v>31</v>
      </c>
      <c r="D16" s="120"/>
      <c r="E16" s="61"/>
      <c r="F16" s="61"/>
      <c r="G16" s="120"/>
      <c r="H16" s="119">
        <v>5</v>
      </c>
      <c r="I16" s="120"/>
      <c r="J16" s="120" t="s">
        <v>31</v>
      </c>
      <c r="K16" s="119">
        <v>5</v>
      </c>
      <c r="L16" s="123"/>
      <c r="M16" s="123"/>
      <c r="N16" s="122"/>
      <c r="O16" s="126"/>
    </row>
    <row r="17" spans="1:15" ht="14.25" x14ac:dyDescent="0.15">
      <c r="A17" s="255"/>
      <c r="B17" s="120"/>
      <c r="C17" s="120" t="s">
        <v>55</v>
      </c>
      <c r="D17" s="120"/>
      <c r="E17" s="61" t="s">
        <v>52</v>
      </c>
      <c r="F17" s="61"/>
      <c r="G17" s="120"/>
      <c r="H17" s="119">
        <v>20</v>
      </c>
      <c r="I17" s="120"/>
      <c r="J17" s="120" t="s">
        <v>55</v>
      </c>
      <c r="K17" s="119">
        <v>15</v>
      </c>
      <c r="L17" s="120" t="s">
        <v>342</v>
      </c>
      <c r="M17" s="120" t="s">
        <v>114</v>
      </c>
      <c r="N17" s="119">
        <v>10</v>
      </c>
      <c r="O17" s="118"/>
    </row>
    <row r="18" spans="1:15" ht="14.25" x14ac:dyDescent="0.15">
      <c r="A18" s="255"/>
      <c r="B18" s="120"/>
      <c r="C18" s="120"/>
      <c r="D18" s="120"/>
      <c r="E18" s="61"/>
      <c r="F18" s="61"/>
      <c r="G18" s="120" t="s">
        <v>53</v>
      </c>
      <c r="H18" s="119" t="s">
        <v>439</v>
      </c>
      <c r="I18" s="120"/>
      <c r="J18" s="120"/>
      <c r="K18" s="119"/>
      <c r="L18" s="120"/>
      <c r="M18" s="120"/>
      <c r="N18" s="119"/>
      <c r="O18" s="118"/>
    </row>
    <row r="19" spans="1:15" ht="14.25" x14ac:dyDescent="0.15">
      <c r="A19" s="255"/>
      <c r="B19" s="120"/>
      <c r="C19" s="120"/>
      <c r="D19" s="120"/>
      <c r="E19" s="61"/>
      <c r="F19" s="61"/>
      <c r="G19" s="120" t="s">
        <v>42</v>
      </c>
      <c r="H19" s="119" t="s">
        <v>438</v>
      </c>
      <c r="I19" s="120"/>
      <c r="J19" s="120"/>
      <c r="K19" s="119"/>
      <c r="L19" s="120"/>
      <c r="M19" s="120"/>
      <c r="N19" s="119"/>
      <c r="O19" s="118"/>
    </row>
    <row r="20" spans="1:15" ht="14.25" x14ac:dyDescent="0.15">
      <c r="A20" s="255"/>
      <c r="B20" s="123"/>
      <c r="C20" s="123"/>
      <c r="D20" s="123"/>
      <c r="E20" s="55"/>
      <c r="F20" s="55"/>
      <c r="G20" s="123"/>
      <c r="H20" s="122"/>
      <c r="I20" s="123"/>
      <c r="J20" s="123"/>
      <c r="K20" s="122"/>
      <c r="L20" s="120"/>
      <c r="M20" s="120"/>
      <c r="N20" s="119"/>
      <c r="O20" s="118"/>
    </row>
    <row r="21" spans="1:15" ht="14.25" x14ac:dyDescent="0.15">
      <c r="A21" s="255"/>
      <c r="B21" s="120" t="s">
        <v>340</v>
      </c>
      <c r="C21" s="120" t="s">
        <v>114</v>
      </c>
      <c r="D21" s="120"/>
      <c r="E21" s="61"/>
      <c r="F21" s="61"/>
      <c r="G21" s="120"/>
      <c r="H21" s="119">
        <v>10</v>
      </c>
      <c r="I21" s="120" t="s">
        <v>341</v>
      </c>
      <c r="J21" s="120" t="s">
        <v>114</v>
      </c>
      <c r="K21" s="119">
        <v>10</v>
      </c>
      <c r="L21" s="120"/>
      <c r="M21" s="120"/>
      <c r="N21" s="119"/>
      <c r="O21" s="118"/>
    </row>
    <row r="22" spans="1:15" ht="14.25" x14ac:dyDescent="0.15">
      <c r="A22" s="255"/>
      <c r="B22" s="120"/>
      <c r="C22" s="120" t="s">
        <v>115</v>
      </c>
      <c r="D22" s="120"/>
      <c r="E22" s="61"/>
      <c r="F22" s="61"/>
      <c r="G22" s="120"/>
      <c r="H22" s="119">
        <v>10</v>
      </c>
      <c r="I22" s="120"/>
      <c r="J22" s="120"/>
      <c r="K22" s="119"/>
      <c r="L22" s="120"/>
      <c r="M22" s="120"/>
      <c r="N22" s="119"/>
      <c r="O22" s="118"/>
    </row>
    <row r="23" spans="1:15" ht="15" thickBot="1" x14ac:dyDescent="0.2">
      <c r="A23" s="256"/>
      <c r="B23" s="117"/>
      <c r="C23" s="117"/>
      <c r="D23" s="117"/>
      <c r="E23" s="68"/>
      <c r="F23" s="154"/>
      <c r="G23" s="117"/>
      <c r="H23" s="116"/>
      <c r="I23" s="117"/>
      <c r="J23" s="117"/>
      <c r="K23" s="116"/>
      <c r="L23" s="117"/>
      <c r="M23" s="117"/>
      <c r="N23" s="116"/>
      <c r="O23" s="115"/>
    </row>
    <row r="24" spans="1:15" ht="14.25" x14ac:dyDescent="0.15">
      <c r="B24" s="114"/>
      <c r="C24" s="114"/>
      <c r="D24" s="114"/>
      <c r="G24" s="114"/>
      <c r="H24" s="113"/>
      <c r="I24" s="114"/>
      <c r="J24" s="114"/>
      <c r="K24" s="113"/>
      <c r="L24" s="114"/>
      <c r="M24" s="114"/>
      <c r="N24" s="113"/>
    </row>
    <row r="25" spans="1:15" ht="14.25" x14ac:dyDescent="0.15">
      <c r="B25" s="114"/>
      <c r="C25" s="114"/>
      <c r="D25" s="114"/>
      <c r="G25" s="114"/>
      <c r="H25" s="113"/>
      <c r="I25" s="114"/>
      <c r="J25" s="114"/>
      <c r="K25" s="113"/>
      <c r="L25" s="114"/>
      <c r="M25" s="114"/>
      <c r="N25" s="113"/>
    </row>
    <row r="26" spans="1:15" ht="14.25" x14ac:dyDescent="0.15">
      <c r="B26" s="114"/>
      <c r="C26" s="114"/>
      <c r="D26" s="114"/>
      <c r="G26" s="114"/>
      <c r="H26" s="113"/>
      <c r="I26" s="114"/>
      <c r="J26" s="114"/>
      <c r="K26" s="113"/>
      <c r="L26" s="114"/>
      <c r="M26" s="114"/>
      <c r="N26" s="113"/>
    </row>
    <row r="27" spans="1:15" ht="14.25" x14ac:dyDescent="0.15">
      <c r="B27" s="114"/>
      <c r="C27" s="114"/>
      <c r="D27" s="114"/>
      <c r="G27" s="114"/>
      <c r="H27" s="113"/>
      <c r="I27" s="114"/>
      <c r="J27" s="114"/>
      <c r="K27" s="113"/>
      <c r="L27" s="114"/>
      <c r="M27" s="114"/>
      <c r="N27" s="113"/>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row r="60" spans="2:14" ht="14.25" x14ac:dyDescent="0.15">
      <c r="B60" s="114"/>
      <c r="C60" s="114"/>
      <c r="D60" s="114"/>
      <c r="G60" s="114"/>
      <c r="H60" s="113"/>
      <c r="I60" s="114"/>
      <c r="J60" s="114"/>
      <c r="K60" s="113"/>
      <c r="L60" s="114"/>
      <c r="M60" s="114"/>
      <c r="N60" s="113"/>
    </row>
    <row r="61" spans="2:14" ht="14.25" x14ac:dyDescent="0.15">
      <c r="B61" s="114"/>
      <c r="C61" s="114"/>
      <c r="D61" s="114"/>
      <c r="G61" s="114"/>
      <c r="H61" s="113"/>
      <c r="I61" s="114"/>
      <c r="J61" s="114"/>
      <c r="K61" s="113"/>
      <c r="L61" s="114"/>
      <c r="M61" s="114"/>
      <c r="N61" s="113"/>
    </row>
    <row r="62" spans="2:14" ht="14.25" x14ac:dyDescent="0.15">
      <c r="B62" s="114"/>
      <c r="C62" s="114"/>
      <c r="D62" s="114"/>
      <c r="G62" s="114"/>
      <c r="H62" s="113"/>
      <c r="I62" s="114"/>
      <c r="J62" s="114"/>
      <c r="K62" s="113"/>
      <c r="L62" s="114"/>
      <c r="M62" s="114"/>
      <c r="N62" s="113"/>
    </row>
    <row r="63" spans="2:14" ht="14.25" x14ac:dyDescent="0.15">
      <c r="B63" s="114"/>
      <c r="C63" s="114"/>
      <c r="D63" s="114"/>
      <c r="G63" s="114"/>
      <c r="H63" s="113"/>
      <c r="I63" s="114"/>
      <c r="J63" s="114"/>
      <c r="K63" s="113"/>
      <c r="L63" s="114"/>
      <c r="M63" s="114"/>
      <c r="N63" s="113"/>
    </row>
    <row r="64" spans="2:14" ht="14.25" x14ac:dyDescent="0.15">
      <c r="B64" s="114"/>
      <c r="C64" s="114"/>
      <c r="D64" s="114"/>
      <c r="G64" s="114"/>
      <c r="H64" s="113"/>
      <c r="I64" s="114"/>
      <c r="J64" s="114"/>
      <c r="K64" s="113"/>
      <c r="L64" s="114"/>
      <c r="M64" s="114"/>
      <c r="N64" s="113"/>
    </row>
    <row r="65" spans="2:14" ht="14.25" x14ac:dyDescent="0.15">
      <c r="B65" s="114"/>
      <c r="C65" s="114"/>
      <c r="D65" s="114"/>
      <c r="G65" s="114"/>
      <c r="H65" s="113"/>
      <c r="I65" s="114"/>
      <c r="J65" s="114"/>
      <c r="K65" s="113"/>
      <c r="L65" s="114"/>
      <c r="M65" s="114"/>
      <c r="N65" s="113"/>
    </row>
  </sheetData>
  <mergeCells count="15">
    <mergeCell ref="L8:N8"/>
    <mergeCell ref="O8:O10"/>
    <mergeCell ref="I9:K9"/>
    <mergeCell ref="L9:N9"/>
    <mergeCell ref="A11:A23"/>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0"/>
  <sheetViews>
    <sheetView showZeros="0" zoomScale="60" zoomScaleNormal="60" zoomScaleSheetLayoutView="80" workbookViewId="0">
      <selection activeCell="C9" sqref="C9"/>
    </sheetView>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272" t="s">
        <v>293</v>
      </c>
      <c r="C5" s="272"/>
      <c r="D5" s="3"/>
      <c r="E5" s="6"/>
      <c r="F5" s="2"/>
      <c r="G5" s="2"/>
      <c r="H5" s="2"/>
      <c r="I5" s="3"/>
      <c r="J5" s="2"/>
      <c r="K5" s="7"/>
      <c r="L5" s="7"/>
      <c r="M5" s="7"/>
      <c r="N5" s="9"/>
      <c r="O5" s="2"/>
      <c r="P5" s="14"/>
      <c r="Q5" s="45" t="s">
        <v>6</v>
      </c>
      <c r="R5" s="46"/>
      <c r="S5" s="47"/>
      <c r="T5" s="47"/>
      <c r="U5" s="3"/>
    </row>
    <row r="6" spans="1:21" ht="22.5" customHeight="1" x14ac:dyDescent="0.15">
      <c r="A6" s="5"/>
      <c r="B6" s="272"/>
      <c r="C6" s="27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128</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129</v>
      </c>
      <c r="C10" s="48" t="s">
        <v>132</v>
      </c>
      <c r="D10" s="49" t="s">
        <v>133</v>
      </c>
      <c r="E10" s="97">
        <v>0.5</v>
      </c>
      <c r="F10" s="51" t="s">
        <v>134</v>
      </c>
      <c r="G10" s="82"/>
      <c r="H10" s="86" t="s">
        <v>132</v>
      </c>
      <c r="I10" s="49" t="s">
        <v>133</v>
      </c>
      <c r="J10" s="51">
        <f t="shared" ref="J10:J16" si="0">ROUNDUP(E10*0.75,2)</f>
        <v>0.38</v>
      </c>
      <c r="K10" s="51" t="s">
        <v>134</v>
      </c>
      <c r="L10" s="51"/>
      <c r="M10" s="51">
        <f>ROUNDUP((R5*E10)+(R6*J10)+(R7*(E10*2)),2)</f>
        <v>0</v>
      </c>
      <c r="N10" s="90">
        <f>M10</f>
        <v>0</v>
      </c>
      <c r="O10" s="78" t="s">
        <v>130</v>
      </c>
      <c r="P10" s="52" t="s">
        <v>65</v>
      </c>
      <c r="Q10" s="49"/>
      <c r="R10" s="53">
        <v>0.5</v>
      </c>
      <c r="S10" s="50">
        <f>ROUNDUP(R10*0.75,2)</f>
        <v>0.38</v>
      </c>
      <c r="T10" s="74">
        <f>ROUNDUP((R5*R10)+(R6*S10)+(R7*(R10*2)),2)</f>
        <v>0</v>
      </c>
    </row>
    <row r="11" spans="1:21" ht="18.75" customHeight="1" x14ac:dyDescent="0.15">
      <c r="A11" s="232"/>
      <c r="B11" s="80"/>
      <c r="C11" s="60" t="s">
        <v>135</v>
      </c>
      <c r="D11" s="61" t="s">
        <v>136</v>
      </c>
      <c r="E11" s="66">
        <v>0.1</v>
      </c>
      <c r="F11" s="62" t="s">
        <v>45</v>
      </c>
      <c r="G11" s="84"/>
      <c r="H11" s="88" t="s">
        <v>135</v>
      </c>
      <c r="I11" s="61" t="s">
        <v>136</v>
      </c>
      <c r="J11" s="62">
        <f t="shared" si="0"/>
        <v>0.08</v>
      </c>
      <c r="K11" s="62" t="s">
        <v>45</v>
      </c>
      <c r="L11" s="62"/>
      <c r="M11" s="62">
        <f>ROUNDUP((R5*E11)+(R6*J11)+(R7*(E11*2)),2)</f>
        <v>0</v>
      </c>
      <c r="N11" s="92">
        <f>M11</f>
        <v>0</v>
      </c>
      <c r="O11" s="80" t="s">
        <v>131</v>
      </c>
      <c r="P11" s="63" t="s">
        <v>64</v>
      </c>
      <c r="Q11" s="61"/>
      <c r="R11" s="64">
        <v>3</v>
      </c>
      <c r="S11" s="65">
        <f>ROUNDUP(R11*0.75,2)</f>
        <v>2.25</v>
      </c>
      <c r="T11" s="76">
        <f>ROUNDUP((R5*R11)+(R6*S11)+(R7*(R11*2)),2)</f>
        <v>0</v>
      </c>
    </row>
    <row r="12" spans="1:21" ht="18.75" customHeight="1" x14ac:dyDescent="0.15">
      <c r="A12" s="232"/>
      <c r="B12" s="80"/>
      <c r="C12" s="60" t="s">
        <v>93</v>
      </c>
      <c r="D12" s="61"/>
      <c r="E12" s="65">
        <v>10</v>
      </c>
      <c r="F12" s="62" t="s">
        <v>27</v>
      </c>
      <c r="G12" s="84"/>
      <c r="H12" s="88" t="s">
        <v>93</v>
      </c>
      <c r="I12" s="61"/>
      <c r="J12" s="62">
        <f t="shared" si="0"/>
        <v>7.5</v>
      </c>
      <c r="K12" s="62" t="s">
        <v>27</v>
      </c>
      <c r="L12" s="62"/>
      <c r="M12" s="62">
        <f>ROUNDUP((R5*E12)+(R6*J12)+(R7*(E12*2)),2)</f>
        <v>0</v>
      </c>
      <c r="N12" s="92">
        <f>M12</f>
        <v>0</v>
      </c>
      <c r="O12" s="99" t="s">
        <v>273</v>
      </c>
      <c r="P12" s="63" t="s">
        <v>42</v>
      </c>
      <c r="Q12" s="61"/>
      <c r="R12" s="64">
        <v>0.1</v>
      </c>
      <c r="S12" s="65">
        <f>ROUNDUP(R12*0.75,2)</f>
        <v>0.08</v>
      </c>
      <c r="T12" s="76">
        <f>ROUNDUP((R5*R12)+(R6*S12)+(R7*(R12*2)),2)</f>
        <v>0</v>
      </c>
    </row>
    <row r="13" spans="1:21" ht="18.75" customHeight="1" x14ac:dyDescent="0.15">
      <c r="A13" s="232"/>
      <c r="B13" s="80"/>
      <c r="C13" s="60" t="s">
        <v>30</v>
      </c>
      <c r="D13" s="61"/>
      <c r="E13" s="65">
        <v>30</v>
      </c>
      <c r="F13" s="62" t="s">
        <v>27</v>
      </c>
      <c r="G13" s="84"/>
      <c r="H13" s="88" t="s">
        <v>30</v>
      </c>
      <c r="I13" s="61"/>
      <c r="J13" s="62">
        <f t="shared" si="0"/>
        <v>22.5</v>
      </c>
      <c r="K13" s="62" t="s">
        <v>27</v>
      </c>
      <c r="L13" s="62"/>
      <c r="M13" s="62">
        <f>ROUNDUP((R5*E13)+(R6*J13)+(R7*(E13*2)),2)</f>
        <v>0</v>
      </c>
      <c r="N13" s="92">
        <f>ROUND(M13+(M13*6/100),2)</f>
        <v>0</v>
      </c>
      <c r="O13" s="36" t="s">
        <v>274</v>
      </c>
      <c r="P13" s="63" t="s">
        <v>67</v>
      </c>
      <c r="Q13" s="61"/>
      <c r="R13" s="64">
        <v>0.01</v>
      </c>
      <c r="S13" s="65">
        <f>ROUNDUP(R13*0.75,2)</f>
        <v>0.01</v>
      </c>
      <c r="T13" s="76">
        <f>ROUNDUP((R5*R13)+(R6*S13)+(R7*(R13*2)),2)</f>
        <v>0</v>
      </c>
    </row>
    <row r="14" spans="1:21" ht="18.75" customHeight="1" x14ac:dyDescent="0.15">
      <c r="A14" s="232"/>
      <c r="B14" s="80"/>
      <c r="C14" s="60" t="s">
        <v>31</v>
      </c>
      <c r="D14" s="61"/>
      <c r="E14" s="65">
        <v>10</v>
      </c>
      <c r="F14" s="62" t="s">
        <v>27</v>
      </c>
      <c r="G14" s="84"/>
      <c r="H14" s="88" t="s">
        <v>31</v>
      </c>
      <c r="I14" s="61"/>
      <c r="J14" s="62">
        <f t="shared" si="0"/>
        <v>7.5</v>
      </c>
      <c r="K14" s="62" t="s">
        <v>27</v>
      </c>
      <c r="L14" s="62"/>
      <c r="M14" s="62">
        <f>ROUNDUP((R5*E14)+(R6*J14)+(R7*(E14*2)),2)</f>
        <v>0</v>
      </c>
      <c r="N14" s="92">
        <f>ROUND(M14+(M14*10/100),2)</f>
        <v>0</v>
      </c>
      <c r="O14" s="80" t="s">
        <v>44</v>
      </c>
      <c r="P14" s="63" t="s">
        <v>139</v>
      </c>
      <c r="Q14" s="61"/>
      <c r="R14" s="64">
        <v>10</v>
      </c>
      <c r="S14" s="65">
        <f>ROUNDUP(R14*0.75,2)</f>
        <v>7.5</v>
      </c>
      <c r="T14" s="76">
        <f>ROUNDUP((R5*R14)+(R6*S14)+(R7*(R14*2)),2)</f>
        <v>0</v>
      </c>
    </row>
    <row r="15" spans="1:21" ht="18.75" customHeight="1" x14ac:dyDescent="0.15">
      <c r="A15" s="232"/>
      <c r="B15" s="80"/>
      <c r="C15" s="60" t="s">
        <v>99</v>
      </c>
      <c r="D15" s="61"/>
      <c r="E15" s="65">
        <v>40</v>
      </c>
      <c r="F15" s="62" t="s">
        <v>27</v>
      </c>
      <c r="G15" s="84"/>
      <c r="H15" s="88" t="s">
        <v>99</v>
      </c>
      <c r="I15" s="61"/>
      <c r="J15" s="62">
        <f t="shared" si="0"/>
        <v>30</v>
      </c>
      <c r="K15" s="62" t="s">
        <v>27</v>
      </c>
      <c r="L15" s="62"/>
      <c r="M15" s="62">
        <f>ROUNDUP((R5*E15)+(R6*J15)+(R7*(E15*2)),2)</f>
        <v>0</v>
      </c>
      <c r="N15" s="92">
        <f>ROUND(M15+(M15*15/100),2)</f>
        <v>0</v>
      </c>
      <c r="O15" s="80"/>
      <c r="P15" s="63"/>
      <c r="Q15" s="61"/>
      <c r="R15" s="64"/>
      <c r="S15" s="65"/>
      <c r="T15" s="76"/>
    </row>
    <row r="16" spans="1:21" ht="18.75" customHeight="1" x14ac:dyDescent="0.15">
      <c r="A16" s="232"/>
      <c r="B16" s="80"/>
      <c r="C16" s="60" t="s">
        <v>137</v>
      </c>
      <c r="D16" s="61"/>
      <c r="E16" s="65">
        <v>0.1</v>
      </c>
      <c r="F16" s="62" t="s">
        <v>27</v>
      </c>
      <c r="G16" s="84" t="s">
        <v>138</v>
      </c>
      <c r="H16" s="88" t="s">
        <v>137</v>
      </c>
      <c r="I16" s="61"/>
      <c r="J16" s="62">
        <f t="shared" si="0"/>
        <v>0.08</v>
      </c>
      <c r="K16" s="62" t="s">
        <v>27</v>
      </c>
      <c r="L16" s="62" t="s">
        <v>138</v>
      </c>
      <c r="M16" s="62">
        <f>ROUNDUP((R5*E16)+(R6*J16)+(R7*(E16*2)),2)</f>
        <v>0</v>
      </c>
      <c r="N16" s="92">
        <f>M16</f>
        <v>0</v>
      </c>
      <c r="O16" s="80"/>
      <c r="P16" s="63"/>
      <c r="Q16" s="61"/>
      <c r="R16" s="64"/>
      <c r="S16" s="65"/>
      <c r="T16" s="76"/>
    </row>
    <row r="17" spans="1:20" ht="18.75" customHeight="1" x14ac:dyDescent="0.15">
      <c r="A17" s="232"/>
      <c r="B17" s="79"/>
      <c r="C17" s="54"/>
      <c r="D17" s="55"/>
      <c r="E17" s="56"/>
      <c r="F17" s="57"/>
      <c r="G17" s="83"/>
      <c r="H17" s="87"/>
      <c r="I17" s="55"/>
      <c r="J17" s="57"/>
      <c r="K17" s="57"/>
      <c r="L17" s="57"/>
      <c r="M17" s="57"/>
      <c r="N17" s="91"/>
      <c r="O17" s="79"/>
      <c r="P17" s="58"/>
      <c r="Q17" s="55"/>
      <c r="R17" s="59"/>
      <c r="S17" s="56"/>
      <c r="T17" s="75"/>
    </row>
    <row r="18" spans="1:20" ht="18.75" customHeight="1" x14ac:dyDescent="0.15">
      <c r="A18" s="232"/>
      <c r="B18" s="80" t="s">
        <v>140</v>
      </c>
      <c r="C18" s="60" t="s">
        <v>143</v>
      </c>
      <c r="D18" s="61" t="s">
        <v>62</v>
      </c>
      <c r="E18" s="65">
        <v>1</v>
      </c>
      <c r="F18" s="62" t="s">
        <v>144</v>
      </c>
      <c r="G18" s="84"/>
      <c r="H18" s="88" t="s">
        <v>143</v>
      </c>
      <c r="I18" s="61" t="s">
        <v>62</v>
      </c>
      <c r="J18" s="62">
        <f>ROUNDUP(E18*0.75,2)</f>
        <v>0.75</v>
      </c>
      <c r="K18" s="62" t="s">
        <v>144</v>
      </c>
      <c r="L18" s="62"/>
      <c r="M18" s="62">
        <f>ROUNDUP((R5*E18)+(R6*J18)+(R7*(E18*2)),2)</f>
        <v>0</v>
      </c>
      <c r="N18" s="92">
        <f>M18</f>
        <v>0</v>
      </c>
      <c r="O18" s="80" t="s">
        <v>141</v>
      </c>
      <c r="P18" s="63" t="s">
        <v>64</v>
      </c>
      <c r="Q18" s="61"/>
      <c r="R18" s="64">
        <v>3</v>
      </c>
      <c r="S18" s="65">
        <f>ROUNDUP(R18*0.75,2)</f>
        <v>2.25</v>
      </c>
      <c r="T18" s="76">
        <f>ROUNDUP((R5*R18)+(R6*S18)+(R7*(R18*2)),2)</f>
        <v>0</v>
      </c>
    </row>
    <row r="19" spans="1:20" ht="18.75" customHeight="1" x14ac:dyDescent="0.15">
      <c r="A19" s="232"/>
      <c r="B19" s="80"/>
      <c r="C19" s="60" t="s">
        <v>58</v>
      </c>
      <c r="D19" s="61" t="s">
        <v>59</v>
      </c>
      <c r="E19" s="65">
        <v>10</v>
      </c>
      <c r="F19" s="62" t="s">
        <v>27</v>
      </c>
      <c r="G19" s="84"/>
      <c r="H19" s="88" t="s">
        <v>58</v>
      </c>
      <c r="I19" s="61" t="s">
        <v>59</v>
      </c>
      <c r="J19" s="62">
        <f>ROUNDUP(E19*0.75,2)</f>
        <v>7.5</v>
      </c>
      <c r="K19" s="62" t="s">
        <v>27</v>
      </c>
      <c r="L19" s="62"/>
      <c r="M19" s="62">
        <f>ROUNDUP((R5*E19)+(R6*J19)+(R7*(E19*2)),2)</f>
        <v>0</v>
      </c>
      <c r="N19" s="92">
        <f>M19</f>
        <v>0</v>
      </c>
      <c r="O19" s="99" t="s">
        <v>275</v>
      </c>
      <c r="P19" s="63"/>
      <c r="Q19" s="61"/>
      <c r="R19" s="64"/>
      <c r="S19" s="65"/>
      <c r="T19" s="76"/>
    </row>
    <row r="20" spans="1:20" ht="18.75" customHeight="1" x14ac:dyDescent="0.15">
      <c r="A20" s="232"/>
      <c r="B20" s="80"/>
      <c r="C20" s="60" t="s">
        <v>55</v>
      </c>
      <c r="D20" s="61" t="s">
        <v>52</v>
      </c>
      <c r="E20" s="65">
        <v>8</v>
      </c>
      <c r="F20" s="62" t="s">
        <v>56</v>
      </c>
      <c r="G20" s="84"/>
      <c r="H20" s="88" t="s">
        <v>55</v>
      </c>
      <c r="I20" s="61" t="s">
        <v>52</v>
      </c>
      <c r="J20" s="62">
        <f>ROUNDUP(E20*0.75,2)</f>
        <v>6</v>
      </c>
      <c r="K20" s="62" t="s">
        <v>56</v>
      </c>
      <c r="L20" s="62"/>
      <c r="M20" s="62">
        <f>ROUNDUP((R5*E20)+(R6*J20)+(R7*(E20*2)),2)</f>
        <v>0</v>
      </c>
      <c r="N20" s="92">
        <f>M20</f>
        <v>0</v>
      </c>
      <c r="O20" s="36" t="s">
        <v>276</v>
      </c>
      <c r="P20" s="63"/>
      <c r="Q20" s="61"/>
      <c r="R20" s="64"/>
      <c r="S20" s="65"/>
      <c r="T20" s="76"/>
    </row>
    <row r="21" spans="1:20" ht="18.75" customHeight="1" x14ac:dyDescent="0.15">
      <c r="A21" s="232"/>
      <c r="B21" s="80"/>
      <c r="C21" s="60"/>
      <c r="D21" s="61"/>
      <c r="E21" s="65"/>
      <c r="F21" s="62"/>
      <c r="G21" s="84"/>
      <c r="H21" s="88"/>
      <c r="I21" s="61"/>
      <c r="J21" s="62"/>
      <c r="K21" s="62"/>
      <c r="L21" s="62"/>
      <c r="M21" s="62"/>
      <c r="N21" s="92"/>
      <c r="O21" s="80" t="s">
        <v>142</v>
      </c>
      <c r="P21" s="63"/>
      <c r="Q21" s="61"/>
      <c r="R21" s="64"/>
      <c r="S21" s="65"/>
      <c r="T21" s="76"/>
    </row>
    <row r="22" spans="1:20" ht="18.75" customHeight="1" x14ac:dyDescent="0.15">
      <c r="A22" s="232"/>
      <c r="B22" s="80"/>
      <c r="C22" s="60"/>
      <c r="D22" s="61"/>
      <c r="E22" s="65"/>
      <c r="F22" s="62"/>
      <c r="G22" s="84"/>
      <c r="H22" s="88"/>
      <c r="I22" s="61"/>
      <c r="J22" s="62"/>
      <c r="K22" s="62"/>
      <c r="L22" s="62"/>
      <c r="M22" s="62"/>
      <c r="N22" s="92"/>
      <c r="O22" s="80" t="s">
        <v>44</v>
      </c>
      <c r="P22" s="63"/>
      <c r="Q22" s="61"/>
      <c r="R22" s="64"/>
      <c r="S22" s="65"/>
      <c r="T22" s="76"/>
    </row>
    <row r="23" spans="1:20" ht="18.75" customHeight="1" x14ac:dyDescent="0.15">
      <c r="A23" s="232"/>
      <c r="B23" s="79"/>
      <c r="C23" s="54"/>
      <c r="D23" s="55"/>
      <c r="E23" s="56"/>
      <c r="F23" s="57"/>
      <c r="G23" s="83"/>
      <c r="H23" s="87"/>
      <c r="I23" s="55"/>
      <c r="J23" s="57"/>
      <c r="K23" s="57"/>
      <c r="L23" s="57"/>
      <c r="M23" s="57"/>
      <c r="N23" s="91"/>
      <c r="O23" s="79"/>
      <c r="P23" s="58"/>
      <c r="Q23" s="55"/>
      <c r="R23" s="59"/>
      <c r="S23" s="56"/>
      <c r="T23" s="75"/>
    </row>
    <row r="24" spans="1:20" ht="18.75" customHeight="1" x14ac:dyDescent="0.15">
      <c r="A24" s="232"/>
      <c r="B24" s="80" t="s">
        <v>145</v>
      </c>
      <c r="C24" s="60" t="s">
        <v>148</v>
      </c>
      <c r="D24" s="61"/>
      <c r="E24" s="98">
        <v>0.2</v>
      </c>
      <c r="F24" s="62" t="s">
        <v>144</v>
      </c>
      <c r="G24" s="84"/>
      <c r="H24" s="88" t="s">
        <v>148</v>
      </c>
      <c r="I24" s="61"/>
      <c r="J24" s="62">
        <f>ROUNDUP(E24*0.75,2)</f>
        <v>0.15</v>
      </c>
      <c r="K24" s="62" t="s">
        <v>144</v>
      </c>
      <c r="L24" s="62"/>
      <c r="M24" s="62">
        <f>ROUNDUP((R5*E24)+(R6*J24)+(R7*(E24*2)),2)</f>
        <v>0</v>
      </c>
      <c r="N24" s="92">
        <f>M24</f>
        <v>0</v>
      </c>
      <c r="O24" s="80" t="s">
        <v>146</v>
      </c>
      <c r="P24" s="63" t="s">
        <v>92</v>
      </c>
      <c r="Q24" s="61" t="s">
        <v>52</v>
      </c>
      <c r="R24" s="64">
        <v>2</v>
      </c>
      <c r="S24" s="65">
        <f>ROUNDUP(R24*0.75,2)</f>
        <v>1.5</v>
      </c>
      <c r="T24" s="76">
        <f>ROUNDUP((R5*R24)+(R6*S24)+(R7*(R24*2)),2)</f>
        <v>0</v>
      </c>
    </row>
    <row r="25" spans="1:20" ht="18.75" customHeight="1" x14ac:dyDescent="0.15">
      <c r="A25" s="232"/>
      <c r="B25" s="80"/>
      <c r="C25" s="60"/>
      <c r="D25" s="61"/>
      <c r="E25" s="65"/>
      <c r="F25" s="62"/>
      <c r="G25" s="84"/>
      <c r="H25" s="88"/>
      <c r="I25" s="61"/>
      <c r="J25" s="62"/>
      <c r="K25" s="62"/>
      <c r="L25" s="62"/>
      <c r="M25" s="62"/>
      <c r="N25" s="92"/>
      <c r="O25" s="80" t="s">
        <v>147</v>
      </c>
      <c r="P25" s="63" t="s">
        <v>35</v>
      </c>
      <c r="Q25" s="61" t="s">
        <v>36</v>
      </c>
      <c r="R25" s="64">
        <v>0.5</v>
      </c>
      <c r="S25" s="65">
        <f>ROUNDUP(R25*0.75,2)</f>
        <v>0.38</v>
      </c>
      <c r="T25" s="76">
        <f>ROUNDUP((R5*R25)+(R6*S25)+(R7*(R25*2)),2)</f>
        <v>0</v>
      </c>
    </row>
    <row r="26" spans="1:20" ht="18.75" customHeight="1" x14ac:dyDescent="0.15">
      <c r="A26" s="232"/>
      <c r="B26" s="80"/>
      <c r="C26" s="60"/>
      <c r="D26" s="61"/>
      <c r="E26" s="65"/>
      <c r="F26" s="62"/>
      <c r="G26" s="84"/>
      <c r="H26" s="88"/>
      <c r="I26" s="61"/>
      <c r="J26" s="62"/>
      <c r="K26" s="62"/>
      <c r="L26" s="62"/>
      <c r="M26" s="62"/>
      <c r="N26" s="92"/>
      <c r="O26" s="80" t="s">
        <v>44</v>
      </c>
      <c r="P26" s="63"/>
      <c r="Q26" s="61"/>
      <c r="R26" s="64"/>
      <c r="S26" s="65"/>
      <c r="T26" s="76"/>
    </row>
    <row r="27" spans="1:20" ht="18.75" customHeight="1" x14ac:dyDescent="0.15">
      <c r="A27" s="232"/>
      <c r="B27" s="80"/>
      <c r="C27" s="60"/>
      <c r="D27" s="61"/>
      <c r="E27" s="65"/>
      <c r="F27" s="62"/>
      <c r="G27" s="84"/>
      <c r="H27" s="88"/>
      <c r="I27" s="61"/>
      <c r="J27" s="62"/>
      <c r="K27" s="62"/>
      <c r="L27" s="62"/>
      <c r="M27" s="62"/>
      <c r="N27" s="92"/>
      <c r="O27" s="80"/>
      <c r="P27" s="63"/>
      <c r="Q27" s="61"/>
      <c r="R27" s="64"/>
      <c r="S27" s="65"/>
      <c r="T27" s="76"/>
    </row>
    <row r="28" spans="1:20" ht="18.75" customHeight="1" x14ac:dyDescent="0.15">
      <c r="A28" s="232"/>
      <c r="B28" s="79"/>
      <c r="C28" s="54"/>
      <c r="D28" s="55"/>
      <c r="E28" s="56"/>
      <c r="F28" s="57"/>
      <c r="G28" s="83"/>
      <c r="H28" s="87"/>
      <c r="I28" s="55"/>
      <c r="J28" s="57"/>
      <c r="K28" s="57"/>
      <c r="L28" s="57"/>
      <c r="M28" s="57"/>
      <c r="N28" s="91"/>
      <c r="O28" s="79"/>
      <c r="P28" s="58"/>
      <c r="Q28" s="55"/>
      <c r="R28" s="59"/>
      <c r="S28" s="56"/>
      <c r="T28" s="75"/>
    </row>
    <row r="29" spans="1:20" ht="18.75" customHeight="1" x14ac:dyDescent="0.15">
      <c r="A29" s="232"/>
      <c r="B29" s="80" t="s">
        <v>149</v>
      </c>
      <c r="C29" s="60" t="s">
        <v>150</v>
      </c>
      <c r="D29" s="61"/>
      <c r="E29" s="73">
        <v>0.25</v>
      </c>
      <c r="F29" s="62" t="s">
        <v>144</v>
      </c>
      <c r="G29" s="84"/>
      <c r="H29" s="88" t="s">
        <v>150</v>
      </c>
      <c r="I29" s="61"/>
      <c r="J29" s="62">
        <f>ROUNDUP(E29*0.75,2)</f>
        <v>0.19</v>
      </c>
      <c r="K29" s="62" t="s">
        <v>144</v>
      </c>
      <c r="L29" s="62"/>
      <c r="M29" s="62">
        <f>ROUNDUP((R5*E29)+(R6*J29)+(R7*(E29*2)),2)</f>
        <v>0</v>
      </c>
      <c r="N29" s="92">
        <f>M29</f>
        <v>0</v>
      </c>
      <c r="O29" s="80" t="s">
        <v>89</v>
      </c>
      <c r="P29" s="63"/>
      <c r="Q29" s="61"/>
      <c r="R29" s="64"/>
      <c r="S29" s="65"/>
      <c r="T29" s="76"/>
    </row>
    <row r="30" spans="1:20" ht="18.75" customHeight="1" thickBot="1" x14ac:dyDescent="0.2">
      <c r="A30" s="233"/>
      <c r="B30" s="81"/>
      <c r="C30" s="67"/>
      <c r="D30" s="68"/>
      <c r="E30" s="69"/>
      <c r="F30" s="70"/>
      <c r="G30" s="85"/>
      <c r="H30" s="89"/>
      <c r="I30" s="68"/>
      <c r="J30" s="70"/>
      <c r="K30" s="70"/>
      <c r="L30" s="70"/>
      <c r="M30" s="70"/>
      <c r="N30" s="93"/>
      <c r="O30" s="81"/>
      <c r="P30" s="71"/>
      <c r="Q30" s="68"/>
      <c r="R30" s="72"/>
      <c r="S30" s="69"/>
      <c r="T30" s="77"/>
    </row>
  </sheetData>
  <mergeCells count="6">
    <mergeCell ref="H1:O1"/>
    <mergeCell ref="A2:T2"/>
    <mergeCell ref="Q3:T3"/>
    <mergeCell ref="A8:F8"/>
    <mergeCell ref="A10:A30"/>
    <mergeCell ref="B5:C6"/>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1918C-408F-4B41-9AF5-77544A367F8D}">
  <sheetPr>
    <pageSetUpPr fitToPage="1"/>
  </sheetPr>
  <dimension ref="A1:U59"/>
  <sheetViews>
    <sheetView showZeros="0" zoomScale="60" zoomScaleNormal="60" zoomScaleSheetLayoutView="90" workbookViewId="0"/>
  </sheetViews>
  <sheetFormatPr defaultRowHeight="13.5" x14ac:dyDescent="0.15"/>
  <cols>
    <col min="1" max="1" width="4.5" style="112" customWidth="1"/>
    <col min="2" max="2" width="24.375" style="112" customWidth="1"/>
    <col min="3" max="3" width="28.25" style="112" customWidth="1"/>
    <col min="4" max="4" width="12.5" style="112" hidden="1" customWidth="1"/>
    <col min="5" max="6" width="10.375" style="35" customWidth="1"/>
    <col min="7" max="7" width="10" style="112" customWidth="1"/>
    <col min="8" max="8" width="18.75" style="112" customWidth="1"/>
    <col min="9" max="9" width="22.5" style="112" customWidth="1"/>
    <col min="10" max="10" width="21.25" style="112" customWidth="1"/>
    <col min="11" max="11" width="11.125" style="112" customWidth="1"/>
    <col min="12" max="12" width="22.375" style="112" customWidth="1"/>
    <col min="13" max="13" width="21.25" style="112" customWidth="1"/>
    <col min="14" max="14" width="11.25" style="112" customWidth="1"/>
    <col min="15" max="15" width="12.5" hidden="1" customWidth="1"/>
  </cols>
  <sheetData>
    <row r="1" spans="1:21" s="112" customFormat="1" ht="37.5" customHeight="1" x14ac:dyDescent="0.15">
      <c r="A1" s="151" t="s">
        <v>318</v>
      </c>
      <c r="B1" s="5"/>
      <c r="C1" s="151"/>
      <c r="D1" s="151"/>
      <c r="E1" s="234"/>
      <c r="F1" s="235"/>
      <c r="G1" s="235"/>
      <c r="H1" s="235"/>
      <c r="I1" s="235"/>
      <c r="J1" s="235"/>
      <c r="K1" s="235"/>
      <c r="L1" s="235"/>
      <c r="M1" s="235"/>
      <c r="N1" s="235"/>
      <c r="O1"/>
      <c r="P1"/>
      <c r="Q1"/>
      <c r="R1"/>
      <c r="S1"/>
      <c r="T1"/>
      <c r="U1"/>
    </row>
    <row r="2" spans="1:21" s="112" customFormat="1" ht="36" customHeight="1" x14ac:dyDescent="0.15">
      <c r="A2" s="224" t="s">
        <v>0</v>
      </c>
      <c r="B2" s="225"/>
      <c r="C2" s="225"/>
      <c r="D2" s="225"/>
      <c r="E2" s="225"/>
      <c r="F2" s="225"/>
      <c r="G2" s="225"/>
      <c r="H2" s="225"/>
      <c r="I2" s="225"/>
      <c r="J2" s="225"/>
      <c r="K2" s="225"/>
      <c r="L2" s="225"/>
      <c r="M2" s="225"/>
      <c r="N2" s="225"/>
      <c r="O2" s="235"/>
      <c r="P2"/>
      <c r="Q2"/>
      <c r="R2"/>
      <c r="S2"/>
      <c r="T2"/>
      <c r="U2"/>
    </row>
    <row r="3" spans="1:21" s="112" customFormat="1" ht="18.75" customHeight="1" x14ac:dyDescent="0.15">
      <c r="A3" s="151"/>
      <c r="B3" s="5"/>
      <c r="C3" s="151"/>
      <c r="D3" s="151"/>
      <c r="G3" s="151"/>
      <c r="H3" s="151"/>
      <c r="I3" s="5"/>
      <c r="J3" s="151"/>
      <c r="K3" s="151"/>
      <c r="L3" s="5"/>
      <c r="M3" s="151"/>
      <c r="N3" s="151"/>
      <c r="O3"/>
      <c r="P3"/>
      <c r="Q3"/>
      <c r="R3"/>
      <c r="S3"/>
      <c r="T3"/>
      <c r="U3"/>
    </row>
    <row r="4" spans="1:21" s="112" customFormat="1" ht="23.25" customHeight="1" x14ac:dyDescent="0.15">
      <c r="A4" s="147"/>
      <c r="B4" s="114"/>
      <c r="C4" s="147"/>
      <c r="D4" s="147"/>
      <c r="G4" s="147"/>
      <c r="H4" s="147"/>
      <c r="I4" s="114"/>
      <c r="J4" s="147"/>
      <c r="K4" s="147"/>
      <c r="L4" s="150"/>
      <c r="M4" s="150"/>
      <c r="N4" s="149"/>
      <c r="O4" s="110"/>
      <c r="P4"/>
      <c r="Q4"/>
      <c r="R4"/>
      <c r="S4"/>
      <c r="T4"/>
      <c r="U4"/>
    </row>
    <row r="5" spans="1:21" s="112" customFormat="1" ht="31.5" customHeight="1" x14ac:dyDescent="0.15">
      <c r="A5" s="147"/>
      <c r="B5" s="114"/>
      <c r="C5" s="147"/>
      <c r="D5" s="147"/>
      <c r="G5" s="147"/>
      <c r="H5" s="147"/>
      <c r="I5" s="114"/>
      <c r="J5" s="147"/>
      <c r="K5" s="147"/>
      <c r="L5" s="114"/>
      <c r="M5" s="148"/>
      <c r="N5" s="147"/>
      <c r="O5" s="147"/>
      <c r="P5"/>
      <c r="Q5"/>
      <c r="R5"/>
      <c r="S5"/>
      <c r="T5"/>
      <c r="U5"/>
    </row>
    <row r="6" spans="1:21" ht="31.5" customHeight="1" thickBot="1" x14ac:dyDescent="0.2">
      <c r="A6" s="147"/>
      <c r="B6" s="147"/>
      <c r="C6" s="147"/>
      <c r="D6" s="147"/>
      <c r="E6" s="236"/>
      <c r="F6" s="237"/>
      <c r="G6" s="147"/>
      <c r="H6" s="147"/>
      <c r="I6" s="147"/>
      <c r="J6" s="147"/>
      <c r="K6" s="147"/>
      <c r="L6" s="147"/>
      <c r="M6" s="148"/>
      <c r="N6" s="147"/>
      <c r="O6" s="147"/>
    </row>
    <row r="7" spans="1:21" ht="33.75" customHeight="1" thickBot="1" x14ac:dyDescent="0.3">
      <c r="A7" s="238" t="s">
        <v>128</v>
      </c>
      <c r="B7" s="239"/>
      <c r="C7" s="239"/>
      <c r="D7" s="145"/>
      <c r="E7" s="240" t="s">
        <v>456</v>
      </c>
      <c r="F7" s="241"/>
      <c r="G7" s="143"/>
      <c r="H7" s="143"/>
      <c r="I7" s="143"/>
      <c r="J7" s="143"/>
      <c r="K7" s="144"/>
      <c r="L7" s="143"/>
      <c r="M7" s="143"/>
    </row>
    <row r="8" spans="1:21" ht="18.75" customHeight="1" x14ac:dyDescent="0.15">
      <c r="A8" s="257"/>
      <c r="B8" s="258"/>
      <c r="C8" s="259"/>
      <c r="D8" s="245" t="s">
        <v>13</v>
      </c>
      <c r="E8" s="263" t="s">
        <v>455</v>
      </c>
      <c r="F8" s="266" t="s">
        <v>446</v>
      </c>
      <c r="G8" s="142" t="s">
        <v>454</v>
      </c>
      <c r="H8" s="141" t="s">
        <v>453</v>
      </c>
      <c r="I8" s="269" t="s">
        <v>452</v>
      </c>
      <c r="J8" s="270"/>
      <c r="K8" s="271"/>
      <c r="L8" s="242" t="s">
        <v>451</v>
      </c>
      <c r="M8" s="243"/>
      <c r="N8" s="244"/>
      <c r="O8" s="245" t="s">
        <v>13</v>
      </c>
    </row>
    <row r="9" spans="1:21" ht="18.75" customHeight="1" x14ac:dyDescent="0.15">
      <c r="A9" s="260"/>
      <c r="B9" s="261"/>
      <c r="C9" s="262"/>
      <c r="D9" s="246"/>
      <c r="E9" s="264"/>
      <c r="F9" s="267"/>
      <c r="G9" s="12" t="s">
        <v>450</v>
      </c>
      <c r="H9" s="140" t="s">
        <v>449</v>
      </c>
      <c r="I9" s="248" t="s">
        <v>448</v>
      </c>
      <c r="J9" s="249"/>
      <c r="K9" s="250"/>
      <c r="L9" s="251" t="s">
        <v>447</v>
      </c>
      <c r="M9" s="252"/>
      <c r="N9" s="253"/>
      <c r="O9" s="246"/>
    </row>
    <row r="10" spans="1:21" ht="18.75" customHeight="1" thickBot="1" x14ac:dyDescent="0.2">
      <c r="A10" s="139"/>
      <c r="B10" s="138" t="s">
        <v>8</v>
      </c>
      <c r="C10" s="136" t="s">
        <v>445</v>
      </c>
      <c r="D10" s="247"/>
      <c r="E10" s="265"/>
      <c r="F10" s="268"/>
      <c r="G10" s="137" t="s">
        <v>446</v>
      </c>
      <c r="H10" s="134" t="s">
        <v>444</v>
      </c>
      <c r="I10" s="135" t="s">
        <v>8</v>
      </c>
      <c r="J10" s="136" t="s">
        <v>445</v>
      </c>
      <c r="K10" s="133" t="s">
        <v>444</v>
      </c>
      <c r="L10" s="135" t="s">
        <v>8</v>
      </c>
      <c r="M10" s="134" t="s">
        <v>445</v>
      </c>
      <c r="N10" s="133" t="s">
        <v>444</v>
      </c>
      <c r="O10" s="247"/>
    </row>
    <row r="11" spans="1:21" ht="14.25" x14ac:dyDescent="0.15">
      <c r="A11" s="254" t="s">
        <v>54</v>
      </c>
      <c r="B11" s="132" t="s">
        <v>325</v>
      </c>
      <c r="C11" s="132" t="s">
        <v>441</v>
      </c>
      <c r="D11" s="132"/>
      <c r="E11" s="49"/>
      <c r="F11" s="49"/>
      <c r="G11" s="132"/>
      <c r="H11" s="131" t="s">
        <v>443</v>
      </c>
      <c r="I11" s="132" t="s">
        <v>325</v>
      </c>
      <c r="J11" s="132" t="s">
        <v>441</v>
      </c>
      <c r="K11" s="131" t="s">
        <v>442</v>
      </c>
      <c r="L11" s="132" t="s">
        <v>327</v>
      </c>
      <c r="M11" s="132" t="s">
        <v>441</v>
      </c>
      <c r="N11" s="131">
        <v>30</v>
      </c>
      <c r="O11" s="130"/>
    </row>
    <row r="12" spans="1:21" ht="14.25" x14ac:dyDescent="0.15">
      <c r="A12" s="255"/>
      <c r="B12" s="123"/>
      <c r="C12" s="123"/>
      <c r="D12" s="123"/>
      <c r="E12" s="55"/>
      <c r="F12" s="55"/>
      <c r="G12" s="123"/>
      <c r="H12" s="122"/>
      <c r="I12" s="123"/>
      <c r="J12" s="123"/>
      <c r="K12" s="122"/>
      <c r="L12" s="123"/>
      <c r="M12" s="123"/>
      <c r="N12" s="122"/>
      <c r="O12" s="126"/>
    </row>
    <row r="13" spans="1:21" ht="14.25" x14ac:dyDescent="0.15">
      <c r="A13" s="255"/>
      <c r="B13" s="120" t="s">
        <v>364</v>
      </c>
      <c r="C13" s="120" t="s">
        <v>93</v>
      </c>
      <c r="D13" s="120"/>
      <c r="E13" s="61"/>
      <c r="F13" s="61"/>
      <c r="G13" s="120"/>
      <c r="H13" s="119">
        <v>10</v>
      </c>
      <c r="I13" s="120" t="s">
        <v>365</v>
      </c>
      <c r="J13" s="127" t="s">
        <v>156</v>
      </c>
      <c r="K13" s="119">
        <v>10</v>
      </c>
      <c r="L13" s="120" t="s">
        <v>366</v>
      </c>
      <c r="M13" s="120" t="s">
        <v>30</v>
      </c>
      <c r="N13" s="119">
        <v>10</v>
      </c>
      <c r="O13" s="118"/>
    </row>
    <row r="14" spans="1:21" ht="14.25" x14ac:dyDescent="0.15">
      <c r="A14" s="255"/>
      <c r="B14" s="120"/>
      <c r="C14" s="120" t="s">
        <v>31</v>
      </c>
      <c r="D14" s="120"/>
      <c r="E14" s="61"/>
      <c r="F14" s="61"/>
      <c r="G14" s="120"/>
      <c r="H14" s="119">
        <v>10</v>
      </c>
      <c r="I14" s="120"/>
      <c r="J14" s="120" t="s">
        <v>31</v>
      </c>
      <c r="K14" s="119">
        <v>10</v>
      </c>
      <c r="L14" s="120"/>
      <c r="M14" s="120" t="s">
        <v>148</v>
      </c>
      <c r="N14" s="155">
        <v>0.2</v>
      </c>
      <c r="O14" s="118"/>
    </row>
    <row r="15" spans="1:21" ht="14.25" x14ac:dyDescent="0.15">
      <c r="A15" s="255"/>
      <c r="B15" s="120"/>
      <c r="C15" s="120" t="s">
        <v>99</v>
      </c>
      <c r="D15" s="120"/>
      <c r="E15" s="61"/>
      <c r="F15" s="61"/>
      <c r="G15" s="120"/>
      <c r="H15" s="119">
        <v>20</v>
      </c>
      <c r="I15" s="120"/>
      <c r="J15" s="120" t="s">
        <v>99</v>
      </c>
      <c r="K15" s="119">
        <v>10</v>
      </c>
      <c r="L15" s="123"/>
      <c r="M15" s="123"/>
      <c r="N15" s="122"/>
      <c r="O15" s="126"/>
    </row>
    <row r="16" spans="1:21" ht="14.25" x14ac:dyDescent="0.15">
      <c r="A16" s="255"/>
      <c r="B16" s="120"/>
      <c r="C16" s="120"/>
      <c r="D16" s="120"/>
      <c r="E16" s="61"/>
      <c r="F16" s="61"/>
      <c r="G16" s="120" t="s">
        <v>32</v>
      </c>
      <c r="H16" s="119" t="s">
        <v>439</v>
      </c>
      <c r="I16" s="120"/>
      <c r="J16" s="120"/>
      <c r="K16" s="119"/>
      <c r="L16" s="120" t="s">
        <v>370</v>
      </c>
      <c r="M16" s="120" t="s">
        <v>99</v>
      </c>
      <c r="N16" s="119">
        <v>10</v>
      </c>
      <c r="O16" s="118"/>
    </row>
    <row r="17" spans="1:15" ht="14.25" x14ac:dyDescent="0.15">
      <c r="A17" s="255"/>
      <c r="B17" s="120"/>
      <c r="C17" s="120"/>
      <c r="D17" s="120"/>
      <c r="E17" s="61"/>
      <c r="F17" s="61"/>
      <c r="G17" s="120" t="s">
        <v>33</v>
      </c>
      <c r="H17" s="119" t="s">
        <v>438</v>
      </c>
      <c r="I17" s="120"/>
      <c r="J17" s="120"/>
      <c r="K17" s="119"/>
      <c r="L17" s="120"/>
      <c r="M17" s="120" t="s">
        <v>31</v>
      </c>
      <c r="N17" s="119">
        <v>5</v>
      </c>
      <c r="O17" s="118"/>
    </row>
    <row r="18" spans="1:15" ht="14.25" x14ac:dyDescent="0.15">
      <c r="A18" s="255"/>
      <c r="B18" s="120"/>
      <c r="C18" s="120"/>
      <c r="D18" s="120"/>
      <c r="E18" s="61"/>
      <c r="F18" s="61" t="s">
        <v>36</v>
      </c>
      <c r="G18" s="120" t="s">
        <v>35</v>
      </c>
      <c r="H18" s="119" t="s">
        <v>438</v>
      </c>
      <c r="I18" s="120"/>
      <c r="J18" s="120"/>
      <c r="K18" s="119"/>
      <c r="L18" s="123"/>
      <c r="M18" s="123"/>
      <c r="N18" s="122"/>
      <c r="O18" s="126"/>
    </row>
    <row r="19" spans="1:15" ht="14.25" x14ac:dyDescent="0.15">
      <c r="A19" s="255"/>
      <c r="B19" s="123"/>
      <c r="C19" s="123"/>
      <c r="D19" s="123"/>
      <c r="E19" s="55"/>
      <c r="F19" s="55"/>
      <c r="G19" s="123"/>
      <c r="H19" s="122"/>
      <c r="I19" s="123"/>
      <c r="J19" s="123"/>
      <c r="K19" s="122"/>
      <c r="L19" s="120" t="s">
        <v>374</v>
      </c>
      <c r="M19" s="120" t="s">
        <v>150</v>
      </c>
      <c r="N19" s="121">
        <v>0.13</v>
      </c>
      <c r="O19" s="118"/>
    </row>
    <row r="20" spans="1:15" ht="14.25" x14ac:dyDescent="0.15">
      <c r="A20" s="255"/>
      <c r="B20" s="120" t="s">
        <v>369</v>
      </c>
      <c r="C20" s="120" t="s">
        <v>148</v>
      </c>
      <c r="D20" s="120"/>
      <c r="E20" s="61"/>
      <c r="F20" s="61"/>
      <c r="G20" s="120"/>
      <c r="H20" s="155">
        <v>0.2</v>
      </c>
      <c r="I20" s="120" t="s">
        <v>369</v>
      </c>
      <c r="J20" s="120" t="s">
        <v>148</v>
      </c>
      <c r="K20" s="155">
        <v>0.2</v>
      </c>
      <c r="L20" s="120"/>
      <c r="M20" s="120"/>
      <c r="N20" s="119"/>
      <c r="O20" s="118"/>
    </row>
    <row r="21" spans="1:15" ht="14.25" x14ac:dyDescent="0.15">
      <c r="A21" s="255"/>
      <c r="B21" s="120"/>
      <c r="C21" s="120" t="s">
        <v>30</v>
      </c>
      <c r="D21" s="120"/>
      <c r="E21" s="61"/>
      <c r="F21" s="61"/>
      <c r="G21" s="120"/>
      <c r="H21" s="119">
        <v>10</v>
      </c>
      <c r="I21" s="120"/>
      <c r="J21" s="120" t="s">
        <v>30</v>
      </c>
      <c r="K21" s="119">
        <v>10</v>
      </c>
      <c r="L21" s="120"/>
      <c r="M21" s="120"/>
      <c r="N21" s="119"/>
      <c r="O21" s="118"/>
    </row>
    <row r="22" spans="1:15" ht="14.25" x14ac:dyDescent="0.15">
      <c r="A22" s="255"/>
      <c r="B22" s="120"/>
      <c r="C22" s="120"/>
      <c r="D22" s="120"/>
      <c r="E22" s="61"/>
      <c r="F22" s="61"/>
      <c r="G22" s="120" t="s">
        <v>32</v>
      </c>
      <c r="H22" s="119" t="s">
        <v>439</v>
      </c>
      <c r="I22" s="120"/>
      <c r="J22" s="120"/>
      <c r="K22" s="119"/>
      <c r="L22" s="120"/>
      <c r="M22" s="120"/>
      <c r="N22" s="119"/>
      <c r="O22" s="118"/>
    </row>
    <row r="23" spans="1:15" ht="14.25" x14ac:dyDescent="0.15">
      <c r="A23" s="255"/>
      <c r="B23" s="123"/>
      <c r="C23" s="123"/>
      <c r="D23" s="123"/>
      <c r="E23" s="55"/>
      <c r="F23" s="124"/>
      <c r="G23" s="123"/>
      <c r="H23" s="122"/>
      <c r="I23" s="123"/>
      <c r="J23" s="123"/>
      <c r="K23" s="122"/>
      <c r="L23" s="120"/>
      <c r="M23" s="120"/>
      <c r="N23" s="119"/>
      <c r="O23" s="118"/>
    </row>
    <row r="24" spans="1:15" ht="14.25" x14ac:dyDescent="0.15">
      <c r="A24" s="255"/>
      <c r="B24" s="120" t="s">
        <v>149</v>
      </c>
      <c r="C24" s="120" t="s">
        <v>150</v>
      </c>
      <c r="D24" s="120"/>
      <c r="E24" s="61"/>
      <c r="F24" s="61"/>
      <c r="G24" s="120"/>
      <c r="H24" s="128">
        <v>0.17</v>
      </c>
      <c r="I24" s="120" t="s">
        <v>149</v>
      </c>
      <c r="J24" s="120" t="s">
        <v>150</v>
      </c>
      <c r="K24" s="128">
        <v>0.17</v>
      </c>
      <c r="L24" s="120"/>
      <c r="M24" s="120"/>
      <c r="N24" s="119"/>
      <c r="O24" s="118"/>
    </row>
    <row r="25" spans="1:15" ht="15" thickBot="1" x14ac:dyDescent="0.2">
      <c r="A25" s="256"/>
      <c r="B25" s="117"/>
      <c r="C25" s="117"/>
      <c r="D25" s="117"/>
      <c r="E25" s="68"/>
      <c r="F25" s="68"/>
      <c r="G25" s="117"/>
      <c r="H25" s="116"/>
      <c r="I25" s="117"/>
      <c r="J25" s="117"/>
      <c r="K25" s="116"/>
      <c r="L25" s="117"/>
      <c r="M25" s="117"/>
      <c r="N25" s="116"/>
      <c r="O25" s="115"/>
    </row>
    <row r="26" spans="1:15" ht="14.25" x14ac:dyDescent="0.15">
      <c r="B26" s="114"/>
      <c r="C26" s="114"/>
      <c r="D26" s="114"/>
      <c r="G26" s="114"/>
      <c r="H26" s="113"/>
      <c r="I26" s="114"/>
      <c r="J26" s="114"/>
      <c r="K26" s="113"/>
      <c r="L26" s="114"/>
      <c r="M26" s="114"/>
      <c r="N26" s="113"/>
    </row>
    <row r="27" spans="1:15" ht="14.25" x14ac:dyDescent="0.15">
      <c r="B27" s="114"/>
      <c r="C27" s="114"/>
      <c r="D27" s="114"/>
      <c r="G27" s="114"/>
      <c r="H27" s="113"/>
      <c r="I27" s="114"/>
      <c r="J27" s="114"/>
      <c r="K27" s="113"/>
      <c r="L27" s="114"/>
      <c r="M27" s="114"/>
      <c r="N27" s="113"/>
    </row>
    <row r="28" spans="1:15" ht="14.25" x14ac:dyDescent="0.15">
      <c r="B28" s="114"/>
      <c r="C28" s="114"/>
      <c r="D28" s="114"/>
      <c r="G28" s="114"/>
      <c r="H28" s="113"/>
      <c r="I28" s="114"/>
      <c r="J28" s="114"/>
      <c r="K28" s="113"/>
      <c r="L28" s="114"/>
      <c r="M28" s="114"/>
      <c r="N28" s="113"/>
    </row>
    <row r="29" spans="1:15" ht="14.25" x14ac:dyDescent="0.15">
      <c r="B29" s="114"/>
      <c r="C29" s="114"/>
      <c r="D29" s="114"/>
      <c r="G29" s="114"/>
      <c r="H29" s="113"/>
      <c r="I29" s="114"/>
      <c r="J29" s="114"/>
      <c r="K29" s="113"/>
      <c r="L29" s="114"/>
      <c r="M29" s="114"/>
      <c r="N29" s="113"/>
    </row>
    <row r="30" spans="1:15" ht="14.25" x14ac:dyDescent="0.15">
      <c r="B30" s="114"/>
      <c r="C30" s="114"/>
      <c r="D30" s="114"/>
      <c r="G30" s="114"/>
      <c r="H30" s="113"/>
      <c r="I30" s="114"/>
      <c r="J30" s="114"/>
      <c r="K30" s="113"/>
      <c r="L30" s="114"/>
      <c r="M30" s="114"/>
      <c r="N30" s="113"/>
    </row>
    <row r="31" spans="1:15" ht="14.25" x14ac:dyDescent="0.15">
      <c r="B31" s="114"/>
      <c r="C31" s="114"/>
      <c r="D31" s="114"/>
      <c r="G31" s="114"/>
      <c r="H31" s="113"/>
      <c r="I31" s="114"/>
      <c r="J31" s="114"/>
      <c r="K31" s="113"/>
      <c r="L31" s="114"/>
      <c r="M31" s="114"/>
      <c r="N31" s="113"/>
    </row>
    <row r="32" spans="1:15" ht="14.25" x14ac:dyDescent="0.15">
      <c r="B32" s="114"/>
      <c r="C32" s="114"/>
      <c r="D32" s="114"/>
      <c r="G32" s="114"/>
      <c r="H32" s="113"/>
      <c r="I32" s="114"/>
      <c r="J32" s="114"/>
      <c r="K32" s="113"/>
      <c r="L32" s="114"/>
      <c r="M32" s="114"/>
      <c r="N32" s="113"/>
    </row>
    <row r="33" spans="2:14" ht="14.25" x14ac:dyDescent="0.15">
      <c r="B33" s="114"/>
      <c r="C33" s="114"/>
      <c r="D33" s="114"/>
      <c r="G33" s="114"/>
      <c r="H33" s="113"/>
      <c r="I33" s="114"/>
      <c r="J33" s="114"/>
      <c r="K33" s="113"/>
      <c r="L33" s="114"/>
      <c r="M33" s="114"/>
      <c r="N33" s="113"/>
    </row>
    <row r="34" spans="2:14" ht="14.25" x14ac:dyDescent="0.15">
      <c r="B34" s="114"/>
      <c r="C34" s="114"/>
      <c r="D34" s="114"/>
      <c r="G34" s="114"/>
      <c r="H34" s="113"/>
      <c r="I34" s="114"/>
      <c r="J34" s="114"/>
      <c r="K34" s="113"/>
      <c r="L34" s="114"/>
      <c r="M34" s="114"/>
      <c r="N34" s="113"/>
    </row>
    <row r="35" spans="2:14" ht="14.25" x14ac:dyDescent="0.15">
      <c r="B35" s="114"/>
      <c r="C35" s="114"/>
      <c r="D35" s="114"/>
      <c r="G35" s="114"/>
      <c r="H35" s="113"/>
      <c r="I35" s="114"/>
      <c r="J35" s="114"/>
      <c r="K35" s="113"/>
      <c r="L35" s="114"/>
      <c r="M35" s="114"/>
      <c r="N35" s="113"/>
    </row>
    <row r="36" spans="2:14" ht="14.25" x14ac:dyDescent="0.15">
      <c r="B36" s="114"/>
      <c r="C36" s="114"/>
      <c r="D36" s="114"/>
      <c r="G36" s="114"/>
      <c r="H36" s="113"/>
      <c r="I36" s="114"/>
      <c r="J36" s="114"/>
      <c r="K36" s="113"/>
      <c r="L36" s="114"/>
      <c r="M36" s="114"/>
      <c r="N36" s="113"/>
    </row>
    <row r="37" spans="2:14" ht="14.25" x14ac:dyDescent="0.15">
      <c r="B37" s="114"/>
      <c r="C37" s="114"/>
      <c r="D37" s="114"/>
      <c r="G37" s="114"/>
      <c r="H37" s="113"/>
      <c r="I37" s="114"/>
      <c r="J37" s="114"/>
      <c r="K37" s="113"/>
      <c r="L37" s="114"/>
      <c r="M37" s="114"/>
      <c r="N37" s="113"/>
    </row>
    <row r="38" spans="2:14" ht="14.25" x14ac:dyDescent="0.15">
      <c r="B38" s="114"/>
      <c r="C38" s="114"/>
      <c r="D38" s="114"/>
      <c r="G38" s="114"/>
      <c r="H38" s="113"/>
      <c r="I38" s="114"/>
      <c r="J38" s="114"/>
      <c r="K38" s="113"/>
      <c r="L38" s="114"/>
      <c r="M38" s="114"/>
      <c r="N38" s="113"/>
    </row>
    <row r="39" spans="2:14" ht="14.25" x14ac:dyDescent="0.15">
      <c r="B39" s="114"/>
      <c r="C39" s="114"/>
      <c r="D39" s="114"/>
      <c r="G39" s="114"/>
      <c r="H39" s="113"/>
      <c r="I39" s="114"/>
      <c r="J39" s="114"/>
      <c r="K39" s="113"/>
      <c r="L39" s="114"/>
      <c r="M39" s="114"/>
      <c r="N39" s="113"/>
    </row>
    <row r="40" spans="2:14" ht="14.25" x14ac:dyDescent="0.15">
      <c r="B40" s="114"/>
      <c r="C40" s="114"/>
      <c r="D40" s="114"/>
      <c r="G40" s="114"/>
      <c r="H40" s="113"/>
      <c r="I40" s="114"/>
      <c r="J40" s="114"/>
      <c r="K40" s="113"/>
      <c r="L40" s="114"/>
      <c r="M40" s="114"/>
      <c r="N40" s="113"/>
    </row>
    <row r="41" spans="2:14" ht="14.25" x14ac:dyDescent="0.15">
      <c r="B41" s="114"/>
      <c r="C41" s="114"/>
      <c r="D41" s="114"/>
      <c r="G41" s="114"/>
      <c r="H41" s="113"/>
      <c r="I41" s="114"/>
      <c r="J41" s="114"/>
      <c r="K41" s="113"/>
      <c r="L41" s="114"/>
      <c r="M41" s="114"/>
      <c r="N41" s="113"/>
    </row>
    <row r="42" spans="2:14" ht="14.25" x14ac:dyDescent="0.15">
      <c r="B42" s="114"/>
      <c r="C42" s="114"/>
      <c r="D42" s="114"/>
      <c r="G42" s="114"/>
      <c r="H42" s="113"/>
      <c r="I42" s="114"/>
      <c r="J42" s="114"/>
      <c r="K42" s="113"/>
      <c r="L42" s="114"/>
      <c r="M42" s="114"/>
      <c r="N42" s="113"/>
    </row>
    <row r="43" spans="2:14" ht="14.25" x14ac:dyDescent="0.15">
      <c r="B43" s="114"/>
      <c r="C43" s="114"/>
      <c r="D43" s="114"/>
      <c r="G43" s="114"/>
      <c r="H43" s="113"/>
      <c r="I43" s="114"/>
      <c r="J43" s="114"/>
      <c r="K43" s="113"/>
      <c r="L43" s="114"/>
      <c r="M43" s="114"/>
      <c r="N43" s="113"/>
    </row>
    <row r="44" spans="2:14" ht="14.25" x14ac:dyDescent="0.15">
      <c r="B44" s="114"/>
      <c r="C44" s="114"/>
      <c r="D44" s="114"/>
      <c r="G44" s="114"/>
      <c r="H44" s="113"/>
      <c r="I44" s="114"/>
      <c r="J44" s="114"/>
      <c r="K44" s="113"/>
      <c r="L44" s="114"/>
      <c r="M44" s="114"/>
      <c r="N44" s="113"/>
    </row>
    <row r="45" spans="2:14" ht="14.25" x14ac:dyDescent="0.15">
      <c r="B45" s="114"/>
      <c r="C45" s="114"/>
      <c r="D45" s="114"/>
      <c r="G45" s="114"/>
      <c r="H45" s="113"/>
      <c r="I45" s="114"/>
      <c r="J45" s="114"/>
      <c r="K45" s="113"/>
      <c r="L45" s="114"/>
      <c r="M45" s="114"/>
      <c r="N45" s="113"/>
    </row>
    <row r="46" spans="2:14" ht="14.25" x14ac:dyDescent="0.15">
      <c r="B46" s="114"/>
      <c r="C46" s="114"/>
      <c r="D46" s="114"/>
      <c r="G46" s="114"/>
      <c r="H46" s="113"/>
      <c r="I46" s="114"/>
      <c r="J46" s="114"/>
      <c r="K46" s="113"/>
      <c r="L46" s="114"/>
      <c r="M46" s="114"/>
      <c r="N46" s="113"/>
    </row>
    <row r="47" spans="2:14" ht="14.25" x14ac:dyDescent="0.15">
      <c r="B47" s="114"/>
      <c r="C47" s="114"/>
      <c r="D47" s="114"/>
      <c r="G47" s="114"/>
      <c r="H47" s="113"/>
      <c r="I47" s="114"/>
      <c r="J47" s="114"/>
      <c r="K47" s="113"/>
      <c r="L47" s="114"/>
      <c r="M47" s="114"/>
      <c r="N47" s="113"/>
    </row>
    <row r="48" spans="2:14" ht="14.25" x14ac:dyDescent="0.15">
      <c r="B48" s="114"/>
      <c r="C48" s="114"/>
      <c r="D48" s="114"/>
      <c r="G48" s="114"/>
      <c r="H48" s="113"/>
      <c r="I48" s="114"/>
      <c r="J48" s="114"/>
      <c r="K48" s="113"/>
      <c r="L48" s="114"/>
      <c r="M48" s="114"/>
      <c r="N48" s="113"/>
    </row>
    <row r="49" spans="2:14" ht="14.25" x14ac:dyDescent="0.15">
      <c r="B49" s="114"/>
      <c r="C49" s="114"/>
      <c r="D49" s="114"/>
      <c r="G49" s="114"/>
      <c r="H49" s="113"/>
      <c r="I49" s="114"/>
      <c r="J49" s="114"/>
      <c r="K49" s="113"/>
      <c r="L49" s="114"/>
      <c r="M49" s="114"/>
      <c r="N49" s="113"/>
    </row>
    <row r="50" spans="2:14" ht="14.25" x14ac:dyDescent="0.15">
      <c r="B50" s="114"/>
      <c r="C50" s="114"/>
      <c r="D50" s="114"/>
      <c r="G50" s="114"/>
      <c r="H50" s="113"/>
      <c r="I50" s="114"/>
      <c r="J50" s="114"/>
      <c r="K50" s="113"/>
      <c r="L50" s="114"/>
      <c r="M50" s="114"/>
      <c r="N50" s="113"/>
    </row>
    <row r="51" spans="2:14" ht="14.25" x14ac:dyDescent="0.15">
      <c r="B51" s="114"/>
      <c r="C51" s="114"/>
      <c r="D51" s="114"/>
      <c r="G51" s="114"/>
      <c r="H51" s="113"/>
      <c r="I51" s="114"/>
      <c r="J51" s="114"/>
      <c r="K51" s="113"/>
      <c r="L51" s="114"/>
      <c r="M51" s="114"/>
      <c r="N51" s="113"/>
    </row>
    <row r="52" spans="2:14" ht="14.25" x14ac:dyDescent="0.15">
      <c r="B52" s="114"/>
      <c r="C52" s="114"/>
      <c r="D52" s="114"/>
      <c r="G52" s="114"/>
      <c r="H52" s="113"/>
      <c r="I52" s="114"/>
      <c r="J52" s="114"/>
      <c r="K52" s="113"/>
      <c r="L52" s="114"/>
      <c r="M52" s="114"/>
      <c r="N52" s="113"/>
    </row>
    <row r="53" spans="2:14" ht="14.25" x14ac:dyDescent="0.15">
      <c r="B53" s="114"/>
      <c r="C53" s="114"/>
      <c r="D53" s="114"/>
      <c r="G53" s="114"/>
      <c r="H53" s="113"/>
      <c r="I53" s="114"/>
      <c r="J53" s="114"/>
      <c r="K53" s="113"/>
      <c r="L53" s="114"/>
      <c r="M53" s="114"/>
      <c r="N53" s="113"/>
    </row>
    <row r="54" spans="2:14" ht="14.25" x14ac:dyDescent="0.15">
      <c r="B54" s="114"/>
      <c r="C54" s="114"/>
      <c r="D54" s="114"/>
      <c r="G54" s="114"/>
      <c r="H54" s="113"/>
      <c r="I54" s="114"/>
      <c r="J54" s="114"/>
      <c r="K54" s="113"/>
      <c r="L54" s="114"/>
      <c r="M54" s="114"/>
      <c r="N54" s="113"/>
    </row>
    <row r="55" spans="2:14" ht="14.25" x14ac:dyDescent="0.15">
      <c r="B55" s="114"/>
      <c r="C55" s="114"/>
      <c r="D55" s="114"/>
      <c r="G55" s="114"/>
      <c r="H55" s="113"/>
      <c r="I55" s="114"/>
      <c r="J55" s="114"/>
      <c r="K55" s="113"/>
      <c r="L55" s="114"/>
      <c r="M55" s="114"/>
      <c r="N55" s="113"/>
    </row>
    <row r="56" spans="2:14" ht="14.25" x14ac:dyDescent="0.15">
      <c r="B56" s="114"/>
      <c r="C56" s="114"/>
      <c r="D56" s="114"/>
      <c r="G56" s="114"/>
      <c r="H56" s="113"/>
      <c r="I56" s="114"/>
      <c r="J56" s="114"/>
      <c r="K56" s="113"/>
      <c r="L56" s="114"/>
      <c r="M56" s="114"/>
      <c r="N56" s="113"/>
    </row>
    <row r="57" spans="2:14" ht="14.25" x14ac:dyDescent="0.15">
      <c r="B57" s="114"/>
      <c r="C57" s="114"/>
      <c r="D57" s="114"/>
      <c r="G57" s="114"/>
      <c r="H57" s="113"/>
      <c r="I57" s="114"/>
      <c r="J57" s="114"/>
      <c r="K57" s="113"/>
      <c r="L57" s="114"/>
      <c r="M57" s="114"/>
      <c r="N57" s="113"/>
    </row>
    <row r="58" spans="2:14" ht="14.25" x14ac:dyDescent="0.15">
      <c r="B58" s="114"/>
      <c r="C58" s="114"/>
      <c r="D58" s="114"/>
      <c r="G58" s="114"/>
      <c r="H58" s="113"/>
      <c r="I58" s="114"/>
      <c r="J58" s="114"/>
      <c r="K58" s="113"/>
      <c r="L58" s="114"/>
      <c r="M58" s="114"/>
      <c r="N58" s="113"/>
    </row>
    <row r="59" spans="2:14" ht="14.25" x14ac:dyDescent="0.15">
      <c r="B59" s="114"/>
      <c r="C59" s="114"/>
      <c r="D59" s="114"/>
      <c r="G59" s="114"/>
      <c r="H59" s="113"/>
      <c r="I59" s="114"/>
      <c r="J59" s="114"/>
      <c r="K59" s="113"/>
      <c r="L59" s="114"/>
      <c r="M59" s="114"/>
      <c r="N59" s="113"/>
    </row>
  </sheetData>
  <mergeCells count="15">
    <mergeCell ref="L8:N8"/>
    <mergeCell ref="O8:O10"/>
    <mergeCell ref="I9:K9"/>
    <mergeCell ref="L9:N9"/>
    <mergeCell ref="A11:A25"/>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28"/>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24"/>
      <c r="I1" s="224"/>
      <c r="J1" s="225"/>
      <c r="K1" s="225"/>
      <c r="L1" s="225"/>
      <c r="M1" s="225"/>
      <c r="N1" s="225"/>
      <c r="O1" s="225"/>
      <c r="P1" s="2"/>
      <c r="Q1" s="2"/>
      <c r="R1" s="4"/>
      <c r="S1" s="4"/>
      <c r="T1" s="3"/>
      <c r="U1" s="3"/>
    </row>
    <row r="2" spans="1:21" ht="36.75" customHeight="1" x14ac:dyDescent="0.15">
      <c r="A2" s="224" t="s">
        <v>0</v>
      </c>
      <c r="B2" s="224"/>
      <c r="C2" s="225"/>
      <c r="D2" s="225"/>
      <c r="E2" s="225"/>
      <c r="F2" s="225"/>
      <c r="G2" s="225"/>
      <c r="H2" s="225"/>
      <c r="I2" s="225"/>
      <c r="J2" s="225"/>
      <c r="K2" s="225"/>
      <c r="L2" s="225"/>
      <c r="M2" s="225"/>
      <c r="N2" s="225"/>
      <c r="O2" s="225"/>
      <c r="P2" s="225"/>
      <c r="Q2" s="225"/>
      <c r="R2" s="225"/>
      <c r="S2" s="225"/>
      <c r="T2" s="225"/>
      <c r="U2" s="3"/>
    </row>
    <row r="3" spans="1:21" ht="18.75" customHeight="1" x14ac:dyDescent="0.15">
      <c r="A3" s="5"/>
      <c r="B3" s="5"/>
      <c r="C3" s="2"/>
      <c r="D3" s="3"/>
      <c r="E3" s="6"/>
      <c r="F3" s="2"/>
      <c r="G3" s="2"/>
      <c r="H3" s="2"/>
      <c r="I3" s="3"/>
      <c r="J3" s="2"/>
      <c r="K3" s="7"/>
      <c r="L3" s="7"/>
      <c r="M3" s="7"/>
      <c r="N3" s="7"/>
      <c r="O3" s="2"/>
      <c r="P3" s="8"/>
      <c r="Q3" s="226" t="s">
        <v>1</v>
      </c>
      <c r="R3" s="227"/>
      <c r="S3" s="227"/>
      <c r="T3" s="22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29" t="s">
        <v>151</v>
      </c>
      <c r="B8" s="230"/>
      <c r="C8" s="230"/>
      <c r="D8" s="230"/>
      <c r="E8" s="230"/>
      <c r="F8" s="23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31" t="s">
        <v>54</v>
      </c>
      <c r="B10" s="78" t="s">
        <v>23</v>
      </c>
      <c r="C10" s="48"/>
      <c r="D10" s="49"/>
      <c r="E10" s="50"/>
      <c r="F10" s="51"/>
      <c r="G10" s="82"/>
      <c r="H10" s="86"/>
      <c r="I10" s="49"/>
      <c r="J10" s="51"/>
      <c r="K10" s="51"/>
      <c r="L10" s="51"/>
      <c r="M10" s="51"/>
      <c r="N10" s="90"/>
      <c r="O10" s="78"/>
      <c r="P10" s="52" t="s">
        <v>23</v>
      </c>
      <c r="Q10" s="49"/>
      <c r="R10" s="53">
        <v>110</v>
      </c>
      <c r="S10" s="50">
        <f>ROUNDUP(R10*0.75,2)</f>
        <v>82.5</v>
      </c>
      <c r="T10" s="74">
        <f>ROUNDUP((R5*R10)+(R6*S10)+(R7*(R10*2)),2)</f>
        <v>0</v>
      </c>
    </row>
    <row r="11" spans="1:21" ht="18.75" customHeight="1" x14ac:dyDescent="0.15">
      <c r="A11" s="232"/>
      <c r="B11" s="79"/>
      <c r="C11" s="54"/>
      <c r="D11" s="55"/>
      <c r="E11" s="56"/>
      <c r="F11" s="57"/>
      <c r="G11" s="83"/>
      <c r="H11" s="87"/>
      <c r="I11" s="55"/>
      <c r="J11" s="57"/>
      <c r="K11" s="57"/>
      <c r="L11" s="57"/>
      <c r="M11" s="57"/>
      <c r="N11" s="91"/>
      <c r="O11" s="79"/>
      <c r="P11" s="58"/>
      <c r="Q11" s="55"/>
      <c r="R11" s="59"/>
      <c r="S11" s="56"/>
      <c r="T11" s="75"/>
    </row>
    <row r="12" spans="1:21" ht="18.75" customHeight="1" x14ac:dyDescent="0.15">
      <c r="A12" s="232"/>
      <c r="B12" s="80" t="s">
        <v>152</v>
      </c>
      <c r="C12" s="60" t="s">
        <v>156</v>
      </c>
      <c r="D12" s="61"/>
      <c r="E12" s="65">
        <v>40</v>
      </c>
      <c r="F12" s="62" t="s">
        <v>27</v>
      </c>
      <c r="G12" s="84"/>
      <c r="H12" s="88" t="s">
        <v>156</v>
      </c>
      <c r="I12" s="61"/>
      <c r="J12" s="62">
        <f>ROUNDUP(E12*0.75,2)</f>
        <v>30</v>
      </c>
      <c r="K12" s="62" t="s">
        <v>27</v>
      </c>
      <c r="L12" s="62"/>
      <c r="M12" s="62">
        <f>ROUNDUP((R5*E12)+(R6*J12)+(R7*(E12*2)),2)</f>
        <v>0</v>
      </c>
      <c r="N12" s="92">
        <f>M12</f>
        <v>0</v>
      </c>
      <c r="O12" s="80" t="s">
        <v>153</v>
      </c>
      <c r="P12" s="63" t="s">
        <v>65</v>
      </c>
      <c r="Q12" s="61"/>
      <c r="R12" s="64">
        <v>1</v>
      </c>
      <c r="S12" s="65">
        <f t="shared" ref="S12:S18" si="0">ROUNDUP(R12*0.75,2)</f>
        <v>0.75</v>
      </c>
      <c r="T12" s="76">
        <f>ROUNDUP((R5*R12)+(R6*S12)+(R7*(R12*2)),2)</f>
        <v>0</v>
      </c>
    </row>
    <row r="13" spans="1:21" ht="18.75" customHeight="1" x14ac:dyDescent="0.15">
      <c r="A13" s="232"/>
      <c r="B13" s="80"/>
      <c r="C13" s="60" t="s">
        <v>157</v>
      </c>
      <c r="D13" s="61"/>
      <c r="E13" s="65">
        <v>20</v>
      </c>
      <c r="F13" s="62" t="s">
        <v>27</v>
      </c>
      <c r="G13" s="84" t="s">
        <v>127</v>
      </c>
      <c r="H13" s="88" t="s">
        <v>157</v>
      </c>
      <c r="I13" s="61"/>
      <c r="J13" s="62">
        <f>ROUNDUP(E13*0.75,2)</f>
        <v>15</v>
      </c>
      <c r="K13" s="62" t="s">
        <v>27</v>
      </c>
      <c r="L13" s="62" t="s">
        <v>127</v>
      </c>
      <c r="M13" s="62">
        <f>ROUNDUP((R5*E13)+(R6*J13)+(R7*(E13*2)),2)</f>
        <v>0</v>
      </c>
      <c r="N13" s="92">
        <f>M13</f>
        <v>0</v>
      </c>
      <c r="O13" s="80" t="s">
        <v>154</v>
      </c>
      <c r="P13" s="63" t="s">
        <v>37</v>
      </c>
      <c r="Q13" s="61"/>
      <c r="R13" s="64">
        <v>6</v>
      </c>
      <c r="S13" s="65">
        <f t="shared" si="0"/>
        <v>4.5</v>
      </c>
      <c r="T13" s="76">
        <f>ROUNDUP((R5*R13)+(R6*S13)+(R7*(R13*2)),2)</f>
        <v>0</v>
      </c>
    </row>
    <row r="14" spans="1:21" ht="18.75" customHeight="1" x14ac:dyDescent="0.15">
      <c r="A14" s="232"/>
      <c r="B14" s="80"/>
      <c r="C14" s="60" t="s">
        <v>158</v>
      </c>
      <c r="D14" s="61"/>
      <c r="E14" s="65">
        <v>10</v>
      </c>
      <c r="F14" s="62" t="s">
        <v>27</v>
      </c>
      <c r="G14" s="84"/>
      <c r="H14" s="88" t="s">
        <v>158</v>
      </c>
      <c r="I14" s="61"/>
      <c r="J14" s="62">
        <f>ROUNDUP(E14*0.75,2)</f>
        <v>7.5</v>
      </c>
      <c r="K14" s="62" t="s">
        <v>27</v>
      </c>
      <c r="L14" s="62"/>
      <c r="M14" s="62">
        <f>ROUNDUP((R5*E14)+(R6*J14)+(R7*(E14*2)),2)</f>
        <v>0</v>
      </c>
      <c r="N14" s="92">
        <f>ROUND(M14+(M14*3/100),2)</f>
        <v>0</v>
      </c>
      <c r="O14" s="80" t="s">
        <v>155</v>
      </c>
      <c r="P14" s="63" t="s">
        <v>32</v>
      </c>
      <c r="Q14" s="61"/>
      <c r="R14" s="64">
        <v>4</v>
      </c>
      <c r="S14" s="65">
        <f t="shared" si="0"/>
        <v>3</v>
      </c>
      <c r="T14" s="76">
        <f>ROUNDUP((R5*R14)+(R6*S14)+(R7*(R14*2)),2)</f>
        <v>0</v>
      </c>
    </row>
    <row r="15" spans="1:21" ht="18.75" customHeight="1" x14ac:dyDescent="0.15">
      <c r="A15" s="232"/>
      <c r="B15" s="80"/>
      <c r="C15" s="60"/>
      <c r="D15" s="61"/>
      <c r="E15" s="65"/>
      <c r="F15" s="62"/>
      <c r="G15" s="84"/>
      <c r="H15" s="88"/>
      <c r="I15" s="61"/>
      <c r="J15" s="62"/>
      <c r="K15" s="62"/>
      <c r="L15" s="62"/>
      <c r="M15" s="62"/>
      <c r="N15" s="92"/>
      <c r="O15" s="80" t="s">
        <v>24</v>
      </c>
      <c r="P15" s="63" t="s">
        <v>33</v>
      </c>
      <c r="Q15" s="61"/>
      <c r="R15" s="64">
        <v>2</v>
      </c>
      <c r="S15" s="65">
        <f t="shared" si="0"/>
        <v>1.5</v>
      </c>
      <c r="T15" s="76">
        <f>ROUNDUP((R5*R15)+(R6*S15)+(R7*(R15*2)),2)</f>
        <v>0</v>
      </c>
    </row>
    <row r="16" spans="1:21" ht="18.75" customHeight="1" x14ac:dyDescent="0.15">
      <c r="A16" s="232"/>
      <c r="B16" s="80"/>
      <c r="C16" s="60"/>
      <c r="D16" s="61"/>
      <c r="E16" s="65"/>
      <c r="F16" s="62"/>
      <c r="G16" s="84"/>
      <c r="H16" s="88"/>
      <c r="I16" s="61"/>
      <c r="J16" s="62"/>
      <c r="K16" s="62"/>
      <c r="L16" s="62"/>
      <c r="M16" s="62"/>
      <c r="N16" s="92"/>
      <c r="O16" s="80"/>
      <c r="P16" s="63" t="s">
        <v>123</v>
      </c>
      <c r="Q16" s="61"/>
      <c r="R16" s="64">
        <v>2</v>
      </c>
      <c r="S16" s="65">
        <f t="shared" si="0"/>
        <v>1.5</v>
      </c>
      <c r="T16" s="76">
        <f>ROUNDUP((R5*R16)+(R6*S16)+(R7*(R16*2)),2)</f>
        <v>0</v>
      </c>
    </row>
    <row r="17" spans="1:20" ht="18.75" customHeight="1" x14ac:dyDescent="0.15">
      <c r="A17" s="232"/>
      <c r="B17" s="80"/>
      <c r="C17" s="60"/>
      <c r="D17" s="61"/>
      <c r="E17" s="65"/>
      <c r="F17" s="62"/>
      <c r="G17" s="84"/>
      <c r="H17" s="88"/>
      <c r="I17" s="61"/>
      <c r="J17" s="62"/>
      <c r="K17" s="62"/>
      <c r="L17" s="62"/>
      <c r="M17" s="62"/>
      <c r="N17" s="92"/>
      <c r="O17" s="80"/>
      <c r="P17" s="63" t="s">
        <v>35</v>
      </c>
      <c r="Q17" s="61" t="s">
        <v>36</v>
      </c>
      <c r="R17" s="64">
        <v>2</v>
      </c>
      <c r="S17" s="65">
        <f t="shared" si="0"/>
        <v>1.5</v>
      </c>
      <c r="T17" s="76">
        <f>ROUNDUP((R5*R17)+(R6*S17)+(R7*(R17*2)),2)</f>
        <v>0</v>
      </c>
    </row>
    <row r="18" spans="1:20" ht="18.75" customHeight="1" x14ac:dyDescent="0.15">
      <c r="A18" s="232"/>
      <c r="B18" s="80"/>
      <c r="C18" s="60"/>
      <c r="D18" s="61"/>
      <c r="E18" s="65"/>
      <c r="F18" s="62"/>
      <c r="G18" s="84"/>
      <c r="H18" s="88"/>
      <c r="I18" s="61"/>
      <c r="J18" s="62"/>
      <c r="K18" s="62"/>
      <c r="L18" s="62"/>
      <c r="M18" s="62"/>
      <c r="N18" s="92"/>
      <c r="O18" s="80"/>
      <c r="P18" s="63" t="s">
        <v>28</v>
      </c>
      <c r="Q18" s="61"/>
      <c r="R18" s="64">
        <v>2</v>
      </c>
      <c r="S18" s="65">
        <f t="shared" si="0"/>
        <v>1.5</v>
      </c>
      <c r="T18" s="76">
        <f>ROUNDUP((R5*R18)+(R6*S18)+(R7*(R18*2)),2)</f>
        <v>0</v>
      </c>
    </row>
    <row r="19" spans="1:20" ht="18.75" customHeight="1" x14ac:dyDescent="0.15">
      <c r="A19" s="232"/>
      <c r="B19" s="79"/>
      <c r="C19" s="54"/>
      <c r="D19" s="55"/>
      <c r="E19" s="56"/>
      <c r="F19" s="57"/>
      <c r="G19" s="83"/>
      <c r="H19" s="87"/>
      <c r="I19" s="55"/>
      <c r="J19" s="57"/>
      <c r="K19" s="57"/>
      <c r="L19" s="57"/>
      <c r="M19" s="57"/>
      <c r="N19" s="91"/>
      <c r="O19" s="79"/>
      <c r="P19" s="58"/>
      <c r="Q19" s="55"/>
      <c r="R19" s="59"/>
      <c r="S19" s="56"/>
      <c r="T19" s="75"/>
    </row>
    <row r="20" spans="1:20" ht="18.75" customHeight="1" x14ac:dyDescent="0.15">
      <c r="A20" s="232"/>
      <c r="B20" s="80" t="s">
        <v>159</v>
      </c>
      <c r="C20" s="60" t="s">
        <v>162</v>
      </c>
      <c r="D20" s="61"/>
      <c r="E20" s="65">
        <v>20</v>
      </c>
      <c r="F20" s="62" t="s">
        <v>27</v>
      </c>
      <c r="G20" s="84"/>
      <c r="H20" s="88" t="s">
        <v>162</v>
      </c>
      <c r="I20" s="61"/>
      <c r="J20" s="62">
        <f>ROUNDUP(E20*0.75,2)</f>
        <v>15</v>
      </c>
      <c r="K20" s="62" t="s">
        <v>27</v>
      </c>
      <c r="L20" s="62"/>
      <c r="M20" s="62">
        <f>ROUNDUP((R5*E20)+(R6*J20)+(R7*(E20*2)),2)</f>
        <v>0</v>
      </c>
      <c r="N20" s="92">
        <f>M20</f>
        <v>0</v>
      </c>
      <c r="O20" s="99" t="s">
        <v>294</v>
      </c>
      <c r="P20" s="63" t="s">
        <v>64</v>
      </c>
      <c r="Q20" s="61"/>
      <c r="R20" s="64">
        <v>1</v>
      </c>
      <c r="S20" s="65">
        <f>ROUNDUP(R20*0.75,2)</f>
        <v>0.75</v>
      </c>
      <c r="T20" s="76">
        <f>ROUNDUP((R5*R20)+(R6*S20)+(R7*(R20*2)),2)</f>
        <v>0</v>
      </c>
    </row>
    <row r="21" spans="1:20" ht="18.75" customHeight="1" x14ac:dyDescent="0.15">
      <c r="A21" s="232"/>
      <c r="B21" s="80"/>
      <c r="C21" s="60" t="s">
        <v>60</v>
      </c>
      <c r="D21" s="61"/>
      <c r="E21" s="65">
        <v>5</v>
      </c>
      <c r="F21" s="62" t="s">
        <v>27</v>
      </c>
      <c r="G21" s="84"/>
      <c r="H21" s="88" t="s">
        <v>60</v>
      </c>
      <c r="I21" s="61"/>
      <c r="J21" s="62">
        <f>ROUNDUP(E21*0.75,2)</f>
        <v>3.75</v>
      </c>
      <c r="K21" s="62" t="s">
        <v>27</v>
      </c>
      <c r="L21" s="62"/>
      <c r="M21" s="62">
        <f>ROUNDUP((R5*E21)+(R6*J21)+(R7*(E21*2)),2)</f>
        <v>0</v>
      </c>
      <c r="N21" s="92">
        <f>M21</f>
        <v>0</v>
      </c>
      <c r="O21" s="80" t="s">
        <v>160</v>
      </c>
      <c r="P21" s="63" t="s">
        <v>32</v>
      </c>
      <c r="Q21" s="61"/>
      <c r="R21" s="64">
        <v>15</v>
      </c>
      <c r="S21" s="65">
        <f>ROUNDUP(R21*0.75,2)</f>
        <v>11.25</v>
      </c>
      <c r="T21" s="76">
        <f>ROUNDUP((R5*R21)+(R6*S21)+(R7*(R21*2)),2)</f>
        <v>0</v>
      </c>
    </row>
    <row r="22" spans="1:20" ht="18.75" customHeight="1" x14ac:dyDescent="0.15">
      <c r="A22" s="232"/>
      <c r="B22" s="80"/>
      <c r="C22" s="60" t="s">
        <v>31</v>
      </c>
      <c r="D22" s="61"/>
      <c r="E22" s="65">
        <v>10</v>
      </c>
      <c r="F22" s="62" t="s">
        <v>27</v>
      </c>
      <c r="G22" s="84"/>
      <c r="H22" s="88" t="s">
        <v>31</v>
      </c>
      <c r="I22" s="61"/>
      <c r="J22" s="62">
        <f>ROUNDUP(E22*0.75,2)</f>
        <v>7.5</v>
      </c>
      <c r="K22" s="62" t="s">
        <v>27</v>
      </c>
      <c r="L22" s="62"/>
      <c r="M22" s="62">
        <f>ROUNDUP((R5*E22)+(R6*J22)+(R7*(E22*2)),2)</f>
        <v>0</v>
      </c>
      <c r="N22" s="92">
        <f>ROUND(M22+(M22*10/100),2)</f>
        <v>0</v>
      </c>
      <c r="O22" s="80" t="s">
        <v>57</v>
      </c>
      <c r="P22" s="63" t="s">
        <v>34</v>
      </c>
      <c r="Q22" s="61"/>
      <c r="R22" s="64">
        <v>3</v>
      </c>
      <c r="S22" s="65">
        <f>ROUNDUP(R22*0.75,2)</f>
        <v>2.25</v>
      </c>
      <c r="T22" s="76">
        <f>ROUNDUP((R5*R22)+(R6*S22)+(R7*(R22*2)),2)</f>
        <v>0</v>
      </c>
    </row>
    <row r="23" spans="1:20" ht="18.75" customHeight="1" x14ac:dyDescent="0.15">
      <c r="A23" s="232"/>
      <c r="B23" s="80"/>
      <c r="C23" s="60" t="s">
        <v>115</v>
      </c>
      <c r="D23" s="61"/>
      <c r="E23" s="65">
        <v>10</v>
      </c>
      <c r="F23" s="62" t="s">
        <v>27</v>
      </c>
      <c r="G23" s="84"/>
      <c r="H23" s="88" t="s">
        <v>115</v>
      </c>
      <c r="I23" s="61"/>
      <c r="J23" s="62">
        <f>ROUNDUP(E23*0.75,2)</f>
        <v>7.5</v>
      </c>
      <c r="K23" s="62" t="s">
        <v>27</v>
      </c>
      <c r="L23" s="62"/>
      <c r="M23" s="62">
        <f>ROUNDUP((R5*E23)+(R6*J23)+(R7*(E23*2)),2)</f>
        <v>0</v>
      </c>
      <c r="N23" s="92">
        <f>ROUND(M23+(M23*10/100),2)</f>
        <v>0</v>
      </c>
      <c r="O23" s="80" t="s">
        <v>161</v>
      </c>
      <c r="P23" s="63" t="s">
        <v>35</v>
      </c>
      <c r="Q23" s="61" t="s">
        <v>36</v>
      </c>
      <c r="R23" s="64">
        <v>1</v>
      </c>
      <c r="S23" s="65">
        <f>ROUNDUP(R23*0.75,2)</f>
        <v>0.75</v>
      </c>
      <c r="T23" s="76">
        <f>ROUNDUP((R5*R23)+(R6*S23)+(R7*(R23*2)),2)</f>
        <v>0</v>
      </c>
    </row>
    <row r="24" spans="1:20" ht="18.75" customHeight="1" x14ac:dyDescent="0.15">
      <c r="A24" s="232"/>
      <c r="B24" s="80"/>
      <c r="C24" s="60" t="s">
        <v>163</v>
      </c>
      <c r="D24" s="61"/>
      <c r="E24" s="65">
        <v>10</v>
      </c>
      <c r="F24" s="62" t="s">
        <v>27</v>
      </c>
      <c r="G24" s="84"/>
      <c r="H24" s="88" t="s">
        <v>163</v>
      </c>
      <c r="I24" s="61"/>
      <c r="J24" s="62">
        <f>ROUNDUP(E24*0.75,2)</f>
        <v>7.5</v>
      </c>
      <c r="K24" s="62" t="s">
        <v>27</v>
      </c>
      <c r="L24" s="62"/>
      <c r="M24" s="62">
        <f>ROUNDUP((R5*E24)+(R6*J24)+(R7*(E24*2)),2)</f>
        <v>0</v>
      </c>
      <c r="N24" s="92">
        <f>M24</f>
        <v>0</v>
      </c>
      <c r="O24" s="80" t="s">
        <v>24</v>
      </c>
      <c r="P24" s="63"/>
      <c r="Q24" s="61"/>
      <c r="R24" s="64"/>
      <c r="S24" s="65"/>
      <c r="T24" s="76"/>
    </row>
    <row r="25" spans="1:20" ht="18.75" customHeight="1" x14ac:dyDescent="0.15">
      <c r="A25" s="232"/>
      <c r="B25" s="79"/>
      <c r="C25" s="54"/>
      <c r="D25" s="55"/>
      <c r="E25" s="56"/>
      <c r="F25" s="57"/>
      <c r="G25" s="83"/>
      <c r="H25" s="87"/>
      <c r="I25" s="55"/>
      <c r="J25" s="57"/>
      <c r="K25" s="57"/>
      <c r="L25" s="57"/>
      <c r="M25" s="57"/>
      <c r="N25" s="91"/>
      <c r="O25" s="79"/>
      <c r="P25" s="58"/>
      <c r="Q25" s="55"/>
      <c r="R25" s="59"/>
      <c r="S25" s="56"/>
      <c r="T25" s="75"/>
    </row>
    <row r="26" spans="1:20" ht="18.75" customHeight="1" x14ac:dyDescent="0.15">
      <c r="A26" s="232"/>
      <c r="B26" s="80" t="s">
        <v>43</v>
      </c>
      <c r="C26" s="60" t="s">
        <v>124</v>
      </c>
      <c r="D26" s="61" t="s">
        <v>36</v>
      </c>
      <c r="E26" s="66">
        <v>0.1</v>
      </c>
      <c r="F26" s="62" t="s">
        <v>45</v>
      </c>
      <c r="G26" s="84"/>
      <c r="H26" s="88" t="s">
        <v>124</v>
      </c>
      <c r="I26" s="61" t="s">
        <v>36</v>
      </c>
      <c r="J26" s="62">
        <f>ROUNDUP(E26*0.75,2)</f>
        <v>0.08</v>
      </c>
      <c r="K26" s="62" t="s">
        <v>45</v>
      </c>
      <c r="L26" s="62"/>
      <c r="M26" s="62">
        <f>ROUNDUP((R5*E26)+(R6*J26)+(R7*(E26*2)),2)</f>
        <v>0</v>
      </c>
      <c r="N26" s="92">
        <f>M26</f>
        <v>0</v>
      </c>
      <c r="O26" s="80" t="s">
        <v>24</v>
      </c>
      <c r="P26" s="63" t="s">
        <v>32</v>
      </c>
      <c r="Q26" s="61"/>
      <c r="R26" s="64">
        <v>100</v>
      </c>
      <c r="S26" s="65">
        <f>ROUNDUP(R26*0.75,2)</f>
        <v>75</v>
      </c>
      <c r="T26" s="76">
        <f>ROUNDUP((R5*R26)+(R6*S26)+(R7*(R26*2)),2)</f>
        <v>0</v>
      </c>
    </row>
    <row r="27" spans="1:20" ht="18.75" customHeight="1" x14ac:dyDescent="0.15">
      <c r="A27" s="232"/>
      <c r="B27" s="80"/>
      <c r="C27" s="60" t="s">
        <v>87</v>
      </c>
      <c r="D27" s="61"/>
      <c r="E27" s="65">
        <v>5</v>
      </c>
      <c r="F27" s="62" t="s">
        <v>27</v>
      </c>
      <c r="G27" s="84"/>
      <c r="H27" s="88" t="s">
        <v>87</v>
      </c>
      <c r="I27" s="61"/>
      <c r="J27" s="62">
        <f>ROUNDUP(E27*0.75,2)</f>
        <v>3.75</v>
      </c>
      <c r="K27" s="62" t="s">
        <v>27</v>
      </c>
      <c r="L27" s="62"/>
      <c r="M27" s="62">
        <f>ROUNDUP((R5*E27)+(R6*J27)+(R7*(E27*2)),2)</f>
        <v>0</v>
      </c>
      <c r="N27" s="92">
        <f>M27</f>
        <v>0</v>
      </c>
      <c r="O27" s="80"/>
      <c r="P27" s="63" t="s">
        <v>46</v>
      </c>
      <c r="Q27" s="61"/>
      <c r="R27" s="64">
        <v>3</v>
      </c>
      <c r="S27" s="65">
        <f>ROUNDUP(R27*0.75,2)</f>
        <v>2.25</v>
      </c>
      <c r="T27" s="76">
        <f>ROUNDUP((R5*R27)+(R6*S27)+(R7*(R27*2)),2)</f>
        <v>0</v>
      </c>
    </row>
    <row r="28" spans="1:20" ht="18.75" customHeight="1" thickBot="1" x14ac:dyDescent="0.2">
      <c r="A28" s="233"/>
      <c r="B28" s="81"/>
      <c r="C28" s="67"/>
      <c r="D28" s="68"/>
      <c r="E28" s="69"/>
      <c r="F28" s="70"/>
      <c r="G28" s="85"/>
      <c r="H28" s="89"/>
      <c r="I28" s="68"/>
      <c r="J28" s="70"/>
      <c r="K28" s="70"/>
      <c r="L28" s="70"/>
      <c r="M28" s="70"/>
      <c r="N28" s="93"/>
      <c r="O28" s="81"/>
      <c r="P28" s="71"/>
      <c r="Q28" s="68"/>
      <c r="R28" s="72"/>
      <c r="S28" s="69"/>
      <c r="T28" s="77"/>
    </row>
  </sheetData>
  <mergeCells count="5">
    <mergeCell ref="H1:O1"/>
    <mergeCell ref="A2:T2"/>
    <mergeCell ref="Q3:T3"/>
    <mergeCell ref="A8:F8"/>
    <mergeCell ref="A10:A28"/>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2</vt:i4>
      </vt:variant>
    </vt:vector>
  </HeadingPairs>
  <TitlesOfParts>
    <vt:vector size="46" baseType="lpstr">
      <vt:lpstr>キッズ月間(昼)</vt:lpstr>
      <vt:lpstr>離乳食月間</vt:lpstr>
      <vt:lpstr>8月2日（月）キッズ</vt:lpstr>
      <vt:lpstr>8月2日離乳食</vt:lpstr>
      <vt:lpstr>8月3日（火）キッズ</vt:lpstr>
      <vt:lpstr>8月3日離乳食</vt:lpstr>
      <vt:lpstr>8月4日（水）キッズ</vt:lpstr>
      <vt:lpstr>8月4日離乳食</vt:lpstr>
      <vt:lpstr>8月5日（木）キッズ</vt:lpstr>
      <vt:lpstr>8月5日離乳食</vt:lpstr>
      <vt:lpstr>8月6日（金）キッズ</vt:lpstr>
      <vt:lpstr>8月6日離乳食</vt:lpstr>
      <vt:lpstr>8月10日（火）キッズ</vt:lpstr>
      <vt:lpstr>8月10日離乳食</vt:lpstr>
      <vt:lpstr>8月11日（水）キッズ</vt:lpstr>
      <vt:lpstr>8月11日離乳食</vt:lpstr>
      <vt:lpstr>8月12日（木）キッズ</vt:lpstr>
      <vt:lpstr>8月12日離乳食</vt:lpstr>
      <vt:lpstr>8月13日（金）キッズ</vt:lpstr>
      <vt:lpstr>8月13日離乳食</vt:lpstr>
      <vt:lpstr>8月16日（月）キッズ</vt:lpstr>
      <vt:lpstr>8月16日離乳食</vt:lpstr>
      <vt:lpstr>8月17日（火）キッズ</vt:lpstr>
      <vt:lpstr>8月17日離乳食</vt:lpstr>
      <vt:lpstr>8月18日（水）キッズ</vt:lpstr>
      <vt:lpstr>8月18日離乳食</vt:lpstr>
      <vt:lpstr>8月19日（木）キッズ</vt:lpstr>
      <vt:lpstr>8月19日離乳食</vt:lpstr>
      <vt:lpstr>8月20日（金）キッズ</vt:lpstr>
      <vt:lpstr>8月20日離乳食</vt:lpstr>
      <vt:lpstr>8月23日（月）キッズ</vt:lpstr>
      <vt:lpstr>8月23日離乳食</vt:lpstr>
      <vt:lpstr>8月24日（火）キッズ</vt:lpstr>
      <vt:lpstr>8月24日離乳食</vt:lpstr>
      <vt:lpstr>8月25日離乳食</vt:lpstr>
      <vt:lpstr>8月25日（水）キッズ</vt:lpstr>
      <vt:lpstr>8月26日離乳食</vt:lpstr>
      <vt:lpstr>8月26日（木）キッズ</vt:lpstr>
      <vt:lpstr>8月27日（金）キッズ</vt:lpstr>
      <vt:lpstr>8月27日離乳食</vt:lpstr>
      <vt:lpstr>8月30日（月）キッズ</vt:lpstr>
      <vt:lpstr>8月30日離乳食</vt:lpstr>
      <vt:lpstr>8月31日（火）キッズ</vt:lpstr>
      <vt:lpstr>8月31日離乳食</vt:lpstr>
      <vt:lpstr>'キッズ月間(昼)'!Print_Area</vt:lpstr>
      <vt:lpstr>離乳食月間!Print_Area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81806</cp:lastModifiedBy>
  <cp:lastPrinted>2021-06-23T00:39:59Z</cp:lastPrinted>
  <dcterms:created xsi:type="dcterms:W3CDTF">2019-03-20T06:11:51Z</dcterms:created>
  <dcterms:modified xsi:type="dcterms:W3CDTF">2021-07-10T02:36:54Z</dcterms:modified>
</cp:coreProperties>
</file>