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esktop\保育園\給食\11\"/>
    </mc:Choice>
  </mc:AlternateContent>
  <bookViews>
    <workbookView xWindow="0" yWindow="0" windowWidth="15360" windowHeight="7380" tabRatio="863"/>
  </bookViews>
  <sheets>
    <sheet name="キッズ月間(昼)" sheetId="53" r:id="rId1"/>
    <sheet name="離乳食月間" sheetId="52" r:id="rId2"/>
    <sheet name="11月2日（月）" sheetId="3" r:id="rId3"/>
    <sheet name="11月2日離乳食" sheetId="33" r:id="rId4"/>
    <sheet name="11月4日（水）" sheetId="5" r:id="rId5"/>
    <sheet name="11月4日離乳食" sheetId="34" r:id="rId6"/>
    <sheet name="11月5日（木）" sheetId="6" r:id="rId7"/>
    <sheet name="11月5日離乳食" sheetId="35" r:id="rId8"/>
    <sheet name="11月6日（金）" sheetId="7" r:id="rId9"/>
    <sheet name="11月6日離乳食" sheetId="36" r:id="rId10"/>
    <sheet name="11月9日（月）" sheetId="10" r:id="rId11"/>
    <sheet name="11月9日離乳食" sheetId="37" r:id="rId12"/>
    <sheet name="11月10日（火）" sheetId="11" r:id="rId13"/>
    <sheet name="11月10日離乳食" sheetId="38" r:id="rId14"/>
    <sheet name="11月11日（水）" sheetId="32" r:id="rId15"/>
    <sheet name="11月11日離乳食" sheetId="39" r:id="rId16"/>
    <sheet name="11月12日（木）" sheetId="13" r:id="rId17"/>
    <sheet name="11月12日離乳食" sheetId="40" r:id="rId18"/>
    <sheet name="11月13日（金）" sheetId="14" r:id="rId19"/>
    <sheet name="11月13日離乳食" sheetId="41" r:id="rId20"/>
    <sheet name="11月16日（月）" sheetId="17" r:id="rId21"/>
    <sheet name="11月16日離乳食" sheetId="42" r:id="rId22"/>
    <sheet name="11月17日（火）" sheetId="18" r:id="rId23"/>
    <sheet name="11月17日離乳食" sheetId="43" r:id="rId24"/>
    <sheet name="11月18日（水）" sheetId="19" r:id="rId25"/>
    <sheet name="11月18日離乳食" sheetId="44" r:id="rId26"/>
    <sheet name="11月19日（木）" sheetId="20" r:id="rId27"/>
    <sheet name="11月19日離乳食" sheetId="45" r:id="rId28"/>
    <sheet name="11月20日（金）" sheetId="21" r:id="rId29"/>
    <sheet name="11月20日離乳食" sheetId="46" r:id="rId30"/>
    <sheet name="11月24日（火）" sheetId="25" r:id="rId31"/>
    <sheet name="11月24日離乳食" sheetId="47" r:id="rId32"/>
    <sheet name="11月25日（水）" sheetId="26" r:id="rId33"/>
    <sheet name="11月25日離乳食" sheetId="48" r:id="rId34"/>
    <sheet name="11月26日（木）" sheetId="27" r:id="rId35"/>
    <sheet name="11月26日離乳食" sheetId="49" r:id="rId36"/>
    <sheet name="11月27日（金）" sheetId="28" r:id="rId37"/>
    <sheet name="11月27日離乳食" sheetId="50" r:id="rId38"/>
    <sheet name="11月30日（月）" sheetId="31" r:id="rId39"/>
    <sheet name="11月30日離乳食" sheetId="51" r:id="rId40"/>
  </sheets>
  <definedNames>
    <definedName name="_xlnm.Print_Area" localSheetId="0">'キッズ月間(昼)'!$A$1:$AC$91</definedName>
    <definedName name="_xlnm.Print_Area" localSheetId="1">離乳食月間!$A$1:$P$69</definedName>
    <definedName name="_xlnm.Print_Area">#REF!</definedName>
  </definedNames>
  <calcPr calcId="152511"/>
</workbook>
</file>

<file path=xl/calcChain.xml><?xml version="1.0" encoding="utf-8"?>
<calcChain xmlns="http://schemas.openxmlformats.org/spreadsheetml/2006/main">
  <c r="M63" i="53" l="1"/>
  <c r="K63" i="53"/>
  <c r="F63" i="53"/>
  <c r="E63" i="53"/>
  <c r="D63" i="53"/>
  <c r="M62" i="53"/>
  <c r="K62" i="53"/>
  <c r="F62" i="53"/>
  <c r="E62" i="53"/>
  <c r="D62" i="53"/>
  <c r="Z59" i="53"/>
  <c r="Z58" i="53"/>
  <c r="Z57" i="53"/>
  <c r="K57" i="53"/>
  <c r="Z56" i="53"/>
  <c r="K56" i="53"/>
  <c r="Z55" i="53"/>
  <c r="K55" i="53"/>
  <c r="Z54" i="53"/>
  <c r="K54" i="53"/>
  <c r="Z53" i="53"/>
  <c r="K53" i="53"/>
  <c r="Z52" i="53"/>
  <c r="K52" i="53"/>
  <c r="Z51" i="53"/>
  <c r="K51" i="53"/>
  <c r="Z50" i="53"/>
  <c r="K50" i="53"/>
  <c r="Z49" i="53"/>
  <c r="K49" i="53"/>
  <c r="Z48" i="53"/>
  <c r="K48" i="53"/>
  <c r="Z47" i="53"/>
  <c r="K47" i="53"/>
  <c r="Z46" i="53"/>
  <c r="K46" i="53"/>
  <c r="Z45" i="53"/>
  <c r="K45" i="53"/>
  <c r="Z44" i="53"/>
  <c r="K44" i="53"/>
  <c r="Z43" i="53"/>
  <c r="K43" i="53"/>
  <c r="Z42" i="53"/>
  <c r="K42" i="53"/>
  <c r="Z41" i="53"/>
  <c r="K41" i="53"/>
  <c r="Z40" i="53"/>
  <c r="K40" i="53"/>
  <c r="Z39" i="53"/>
  <c r="K39" i="53"/>
  <c r="Z38" i="53"/>
  <c r="K38" i="53"/>
  <c r="Z37" i="53"/>
  <c r="K37" i="53"/>
  <c r="Z36" i="53"/>
  <c r="K36" i="53"/>
  <c r="Z35" i="53"/>
  <c r="K35" i="53"/>
  <c r="K34" i="53"/>
  <c r="K33" i="53"/>
  <c r="Z31" i="53"/>
  <c r="Z30" i="53"/>
  <c r="Z29" i="53"/>
  <c r="K29" i="53"/>
  <c r="Z28" i="53"/>
  <c r="K28" i="53"/>
  <c r="Z27" i="53"/>
  <c r="K27" i="53"/>
  <c r="Z26" i="53"/>
  <c r="K26" i="53"/>
  <c r="Z25" i="53"/>
  <c r="K25" i="53"/>
  <c r="Z24" i="53"/>
  <c r="K24" i="53"/>
  <c r="Z23" i="53"/>
  <c r="K23" i="53"/>
  <c r="Z22" i="53"/>
  <c r="K22" i="53"/>
  <c r="Z21" i="53"/>
  <c r="K21" i="53"/>
  <c r="Z20" i="53"/>
  <c r="K20" i="53"/>
  <c r="Z19" i="53"/>
  <c r="K19" i="53"/>
  <c r="Z18" i="53"/>
  <c r="K18" i="53"/>
  <c r="Z17" i="53"/>
  <c r="K17" i="53"/>
  <c r="Z16" i="53"/>
  <c r="K16" i="53"/>
  <c r="Z15" i="53"/>
  <c r="K15" i="53"/>
  <c r="Z14" i="53"/>
  <c r="Z13" i="53"/>
  <c r="Z12" i="53"/>
  <c r="Z11" i="53"/>
  <c r="K11" i="53"/>
  <c r="Z10" i="53"/>
  <c r="K10" i="53"/>
  <c r="Z9" i="53"/>
  <c r="K9" i="53"/>
  <c r="Z8" i="53"/>
  <c r="K8" i="53"/>
  <c r="Z7" i="53"/>
  <c r="K7" i="53"/>
  <c r="J10" i="32" l="1"/>
  <c r="M10" i="32"/>
  <c r="N10" i="32" s="1"/>
  <c r="S10" i="32"/>
  <c r="T10" i="32" s="1"/>
  <c r="J11" i="32"/>
  <c r="M11" i="32" s="1"/>
  <c r="N11" i="32" s="1"/>
  <c r="S11" i="32"/>
  <c r="T11" i="32"/>
  <c r="J12" i="32"/>
  <c r="M12" i="32"/>
  <c r="N12" i="32" s="1"/>
  <c r="S12" i="32"/>
  <c r="T12" i="32" s="1"/>
  <c r="J13" i="32"/>
  <c r="M13" i="32" s="1"/>
  <c r="N13" i="32" s="1"/>
  <c r="S13" i="32"/>
  <c r="T13" i="32"/>
  <c r="J14" i="32"/>
  <c r="M14" i="32"/>
  <c r="N14" i="32" s="1"/>
  <c r="S14" i="32"/>
  <c r="T14" i="32" s="1"/>
  <c r="S15" i="32"/>
  <c r="T15" i="32" s="1"/>
  <c r="J17" i="32"/>
  <c r="M17" i="32" s="1"/>
  <c r="N17" i="32" s="1"/>
  <c r="S17" i="32"/>
  <c r="T17" i="32"/>
  <c r="J18" i="32"/>
  <c r="M18" i="32"/>
  <c r="N18" i="32" s="1"/>
  <c r="S18" i="32"/>
  <c r="T18" i="32" s="1"/>
  <c r="J19" i="32"/>
  <c r="M19" i="32" s="1"/>
  <c r="N19" i="32" s="1"/>
  <c r="S19" i="32"/>
  <c r="T19" i="32"/>
  <c r="S20" i="32"/>
  <c r="T20" i="32"/>
  <c r="S21" i="32"/>
  <c r="T21" i="32"/>
  <c r="S22" i="32"/>
  <c r="T22" i="32"/>
  <c r="S23" i="32"/>
  <c r="T23" i="32"/>
  <c r="S24" i="32"/>
  <c r="T24" i="32"/>
  <c r="J26" i="32"/>
  <c r="M26" i="32"/>
  <c r="N26" i="32" s="1"/>
  <c r="J28" i="31"/>
  <c r="M28" i="31" s="1"/>
  <c r="N28" i="31" s="1"/>
  <c r="T26" i="31"/>
  <c r="S26" i="31"/>
  <c r="T25" i="31"/>
  <c r="S25" i="31"/>
  <c r="M26" i="31"/>
  <c r="J26" i="31"/>
  <c r="N26" i="31"/>
  <c r="J25" i="31"/>
  <c r="M25" i="31" s="1"/>
  <c r="N25" i="31" s="1"/>
  <c r="T22" i="31"/>
  <c r="S22" i="31"/>
  <c r="T21" i="31"/>
  <c r="S21" i="31"/>
  <c r="T20" i="31"/>
  <c r="S20" i="31"/>
  <c r="M22" i="31"/>
  <c r="J22" i="31"/>
  <c r="N22" i="31"/>
  <c r="J21" i="31"/>
  <c r="M21" i="31" s="1"/>
  <c r="N21" i="31" s="1"/>
  <c r="M20" i="31"/>
  <c r="N20" i="31" s="1"/>
  <c r="J20" i="31"/>
  <c r="S18" i="31"/>
  <c r="T18" i="31" s="1"/>
  <c r="S17" i="31"/>
  <c r="T17" i="31" s="1"/>
  <c r="S16" i="31"/>
  <c r="T16" i="31" s="1"/>
  <c r="S15" i="31"/>
  <c r="T15" i="31" s="1"/>
  <c r="S14" i="31"/>
  <c r="T14" i="31" s="1"/>
  <c r="S13" i="31"/>
  <c r="T13" i="31" s="1"/>
  <c r="J16" i="31"/>
  <c r="M16" i="31" s="1"/>
  <c r="N16" i="31" s="1"/>
  <c r="M15" i="31"/>
  <c r="J15" i="31"/>
  <c r="N15" i="31"/>
  <c r="J14" i="31"/>
  <c r="M14" i="31" s="1"/>
  <c r="N14" i="31" s="1"/>
  <c r="T12" i="31"/>
  <c r="S12" i="31"/>
  <c r="M13" i="31"/>
  <c r="J13" i="31"/>
  <c r="N13" i="31"/>
  <c r="J12" i="31"/>
  <c r="M12" i="31" s="1"/>
  <c r="N12" i="31" s="1"/>
  <c r="T10" i="31"/>
  <c r="S10" i="31"/>
  <c r="J29" i="28"/>
  <c r="M29" i="28" s="1"/>
  <c r="N29" i="28" s="1"/>
  <c r="S27" i="28"/>
  <c r="T27" i="28" s="1"/>
  <c r="S26" i="28"/>
  <c r="T26" i="28"/>
  <c r="S25" i="28"/>
  <c r="T25" i="28" s="1"/>
  <c r="M26" i="28"/>
  <c r="N26" i="28"/>
  <c r="J26" i="28"/>
  <c r="J25" i="28"/>
  <c r="M25" i="28" s="1"/>
  <c r="N25" i="28" s="1"/>
  <c r="J23" i="28"/>
  <c r="M23" i="28" s="1"/>
  <c r="N23" i="28" s="1"/>
  <c r="J22" i="28"/>
  <c r="M22" i="28" s="1"/>
  <c r="N22" i="28" s="1"/>
  <c r="S23" i="28"/>
  <c r="T23" i="28" s="1"/>
  <c r="S22" i="28"/>
  <c r="T22" i="28"/>
  <c r="S21" i="28"/>
  <c r="T21" i="28" s="1"/>
  <c r="S20" i="28"/>
  <c r="T20" i="28" s="1"/>
  <c r="J21" i="28"/>
  <c r="M21" i="28"/>
  <c r="N21" i="28" s="1"/>
  <c r="J20" i="28"/>
  <c r="M20" i="28" s="1"/>
  <c r="N20" i="28" s="1"/>
  <c r="S19" i="28"/>
  <c r="T19" i="28"/>
  <c r="M19" i="28"/>
  <c r="N19" i="28"/>
  <c r="J19" i="28"/>
  <c r="J14" i="28"/>
  <c r="M14" i="28" s="1"/>
  <c r="N14" i="28" s="1"/>
  <c r="J13" i="28"/>
  <c r="M13" i="28" s="1"/>
  <c r="N13" i="28" s="1"/>
  <c r="M12" i="28"/>
  <c r="N12" i="28" s="1"/>
  <c r="J12" i="28"/>
  <c r="S15" i="28"/>
  <c r="T15" i="28" s="1"/>
  <c r="S14" i="28"/>
  <c r="T14" i="28"/>
  <c r="S13" i="28"/>
  <c r="T13" i="28"/>
  <c r="S12" i="28"/>
  <c r="T12" i="28" s="1"/>
  <c r="S11" i="28"/>
  <c r="T11" i="28"/>
  <c r="J11" i="28"/>
  <c r="M11" i="28"/>
  <c r="N11" i="28" s="1"/>
  <c r="J10" i="28"/>
  <c r="M10" i="28" s="1"/>
  <c r="N10" i="28" s="1"/>
  <c r="S10" i="28"/>
  <c r="T10" i="28"/>
  <c r="M28" i="27"/>
  <c r="N28" i="27" s="1"/>
  <c r="J28" i="27"/>
  <c r="T26" i="27"/>
  <c r="S26" i="27"/>
  <c r="T25" i="27"/>
  <c r="S25" i="27"/>
  <c r="T24" i="27"/>
  <c r="S24" i="27"/>
  <c r="M25" i="27"/>
  <c r="J25" i="27"/>
  <c r="N25" i="27"/>
  <c r="M24" i="27"/>
  <c r="N24" i="27" s="1"/>
  <c r="J24" i="27"/>
  <c r="T22" i="27"/>
  <c r="S22" i="27"/>
  <c r="T21" i="27"/>
  <c r="S21" i="27"/>
  <c r="T20" i="27"/>
  <c r="S20" i="27"/>
  <c r="T19" i="27"/>
  <c r="S19" i="27"/>
  <c r="M21" i="27"/>
  <c r="N21" i="27" s="1"/>
  <c r="J21" i="27"/>
  <c r="J20" i="27"/>
  <c r="M20" i="27" s="1"/>
  <c r="N20" i="27" s="1"/>
  <c r="J19" i="27"/>
  <c r="M19" i="27" s="1"/>
  <c r="N19" i="27" s="1"/>
  <c r="T17" i="27"/>
  <c r="S17" i="27"/>
  <c r="S16" i="27"/>
  <c r="T16" i="27" s="1"/>
  <c r="T15" i="27"/>
  <c r="S15" i="27"/>
  <c r="S14" i="27"/>
  <c r="T14" i="27" s="1"/>
  <c r="M13" i="27"/>
  <c r="N13" i="27" s="1"/>
  <c r="J13" i="27"/>
  <c r="M12" i="27"/>
  <c r="N12" i="27" s="1"/>
  <c r="J12" i="27"/>
  <c r="S13" i="27"/>
  <c r="T13" i="27" s="1"/>
  <c r="T12" i="27"/>
  <c r="S12" i="27"/>
  <c r="S11" i="27"/>
  <c r="T11" i="27" s="1"/>
  <c r="M11" i="27"/>
  <c r="N11" i="27" s="1"/>
  <c r="J11" i="27"/>
  <c r="M10" i="27"/>
  <c r="N10" i="27" s="1"/>
  <c r="J10" i="27"/>
  <c r="S10" i="27"/>
  <c r="T10" i="27" s="1"/>
  <c r="M25" i="26"/>
  <c r="N25" i="26" s="1"/>
  <c r="J25" i="26"/>
  <c r="J19" i="26"/>
  <c r="M19" i="26" s="1"/>
  <c r="N19" i="26" s="1"/>
  <c r="S23" i="26"/>
  <c r="T23" i="26" s="1"/>
  <c r="T22" i="26"/>
  <c r="S22" i="26"/>
  <c r="S21" i="26"/>
  <c r="T21" i="26" s="1"/>
  <c r="T20" i="26"/>
  <c r="S20" i="26"/>
  <c r="S19" i="26"/>
  <c r="T19" i="26" s="1"/>
  <c r="M18" i="26"/>
  <c r="N18" i="26" s="1"/>
  <c r="J18" i="26"/>
  <c r="S18" i="26"/>
  <c r="T18" i="26" s="1"/>
  <c r="T17" i="26"/>
  <c r="S17" i="26"/>
  <c r="J17" i="26"/>
  <c r="M17" i="26" s="1"/>
  <c r="N17" i="26" s="1"/>
  <c r="S15" i="26"/>
  <c r="T15" i="26" s="1"/>
  <c r="T14" i="26"/>
  <c r="S14" i="26"/>
  <c r="S13" i="26"/>
  <c r="T13" i="26" s="1"/>
  <c r="T12" i="26"/>
  <c r="S12" i="26"/>
  <c r="S11" i="26"/>
  <c r="T11" i="26" s="1"/>
  <c r="M14" i="26"/>
  <c r="N14" i="26" s="1"/>
  <c r="J14" i="26"/>
  <c r="J13" i="26"/>
  <c r="M13" i="26" s="1"/>
  <c r="N13" i="26" s="1"/>
  <c r="J12" i="26"/>
  <c r="M12" i="26" s="1"/>
  <c r="N12" i="26" s="1"/>
  <c r="T10" i="26"/>
  <c r="S10" i="26"/>
  <c r="J11" i="26"/>
  <c r="M11" i="26" s="1"/>
  <c r="N11" i="26" s="1"/>
  <c r="J10" i="26"/>
  <c r="M10" i="26" s="1"/>
  <c r="N10" i="26" s="1"/>
  <c r="M27" i="25"/>
  <c r="N27" i="25"/>
  <c r="J27" i="25"/>
  <c r="S25" i="25"/>
  <c r="T25" i="25" s="1"/>
  <c r="T24" i="25"/>
  <c r="S24" i="25"/>
  <c r="J25" i="25"/>
  <c r="M25" i="25" s="1"/>
  <c r="N25" i="25" s="1"/>
  <c r="J24" i="25"/>
  <c r="M24" i="25" s="1"/>
  <c r="N24" i="25" s="1"/>
  <c r="T22" i="25"/>
  <c r="S22" i="25"/>
  <c r="S21" i="25"/>
  <c r="T21" i="25" s="1"/>
  <c r="T20" i="25"/>
  <c r="S20" i="25"/>
  <c r="S19" i="25"/>
  <c r="T19" i="25" s="1"/>
  <c r="M20" i="25"/>
  <c r="N20" i="25" s="1"/>
  <c r="J20" i="25"/>
  <c r="J19" i="25"/>
  <c r="M19" i="25" s="1"/>
  <c r="N19" i="25" s="1"/>
  <c r="J15" i="25"/>
  <c r="M15" i="25" s="1"/>
  <c r="N15" i="25" s="1"/>
  <c r="S17" i="25"/>
  <c r="T17" i="25" s="1"/>
  <c r="S16" i="25"/>
  <c r="T16" i="25" s="1"/>
  <c r="S15" i="25"/>
  <c r="T15" i="25" s="1"/>
  <c r="S14" i="25"/>
  <c r="T14" i="25" s="1"/>
  <c r="S13" i="25"/>
  <c r="T13" i="25" s="1"/>
  <c r="J14" i="25"/>
  <c r="M14" i="25" s="1"/>
  <c r="N14" i="25" s="1"/>
  <c r="J13" i="25"/>
  <c r="M13" i="25" s="1"/>
  <c r="N13" i="25" s="1"/>
  <c r="S12" i="25"/>
  <c r="T12" i="25" s="1"/>
  <c r="J12" i="25"/>
  <c r="M12" i="25" s="1"/>
  <c r="N12" i="25" s="1"/>
  <c r="S10" i="25"/>
  <c r="T10" i="25" s="1"/>
  <c r="M26" i="21"/>
  <c r="N26" i="21" s="1"/>
  <c r="J26" i="21"/>
  <c r="S24" i="21"/>
  <c r="T24" i="21" s="1"/>
  <c r="T23" i="21"/>
  <c r="S23" i="21"/>
  <c r="J24" i="21"/>
  <c r="M24" i="21" s="1"/>
  <c r="N24" i="21" s="1"/>
  <c r="J23" i="21"/>
  <c r="M23" i="21" s="1"/>
  <c r="N23" i="21" s="1"/>
  <c r="T21" i="21"/>
  <c r="S21" i="21"/>
  <c r="S20" i="21"/>
  <c r="T20" i="21" s="1"/>
  <c r="T19" i="21"/>
  <c r="S19" i="21"/>
  <c r="S18" i="21"/>
  <c r="T18" i="21" s="1"/>
  <c r="M19" i="21"/>
  <c r="N19" i="21" s="1"/>
  <c r="J19" i="21"/>
  <c r="M18" i="21"/>
  <c r="N18" i="21" s="1"/>
  <c r="J18" i="21"/>
  <c r="J15" i="21"/>
  <c r="M15" i="21" s="1"/>
  <c r="N15" i="21" s="1"/>
  <c r="T16" i="21"/>
  <c r="S16" i="21"/>
  <c r="M14" i="21"/>
  <c r="N14" i="21" s="1"/>
  <c r="J14" i="21"/>
  <c r="S15" i="21"/>
  <c r="T15" i="21" s="1"/>
  <c r="T14" i="21"/>
  <c r="S14" i="21"/>
  <c r="S13" i="21"/>
  <c r="T13" i="21" s="1"/>
  <c r="T12" i="21"/>
  <c r="S12" i="21"/>
  <c r="J13" i="21"/>
  <c r="M13" i="21" s="1"/>
  <c r="N13" i="21" s="1"/>
  <c r="M12" i="21"/>
  <c r="J12" i="21"/>
  <c r="N12" i="21"/>
  <c r="T10" i="21"/>
  <c r="S10" i="21"/>
  <c r="T26" i="20"/>
  <c r="S26" i="20"/>
  <c r="T25" i="20"/>
  <c r="S25" i="20"/>
  <c r="T24" i="20"/>
  <c r="S24" i="20"/>
  <c r="M25" i="20"/>
  <c r="N25" i="20" s="1"/>
  <c r="J25" i="20"/>
  <c r="J24" i="20"/>
  <c r="M24" i="20" s="1"/>
  <c r="N24" i="20" s="1"/>
  <c r="T21" i="20"/>
  <c r="S21" i="20"/>
  <c r="T20" i="20"/>
  <c r="S20" i="20"/>
  <c r="T19" i="20"/>
  <c r="S19" i="20"/>
  <c r="M22" i="20"/>
  <c r="N22" i="20" s="1"/>
  <c r="J22" i="20"/>
  <c r="J21" i="20"/>
  <c r="M21" i="20" s="1"/>
  <c r="N21" i="20" s="1"/>
  <c r="M20" i="20"/>
  <c r="J20" i="20"/>
  <c r="M19" i="20"/>
  <c r="N19" i="20" s="1"/>
  <c r="J19" i="20"/>
  <c r="J14" i="20"/>
  <c r="M14" i="20" s="1"/>
  <c r="N14" i="20" s="1"/>
  <c r="T17" i="20"/>
  <c r="S17" i="20"/>
  <c r="T16" i="20"/>
  <c r="S16" i="20"/>
  <c r="T15" i="20"/>
  <c r="S15" i="20"/>
  <c r="T14" i="20"/>
  <c r="S14" i="20"/>
  <c r="T13" i="20"/>
  <c r="S13" i="20"/>
  <c r="T12" i="20"/>
  <c r="S12" i="20"/>
  <c r="T11" i="20"/>
  <c r="S11" i="20"/>
  <c r="M13" i="20"/>
  <c r="N13" i="20" s="1"/>
  <c r="J13" i="20"/>
  <c r="J12" i="20"/>
  <c r="M12" i="20" s="1"/>
  <c r="N12" i="20" s="1"/>
  <c r="M11" i="20"/>
  <c r="J11" i="20"/>
  <c r="N11" i="20"/>
  <c r="S10" i="20"/>
  <c r="T10" i="20" s="1"/>
  <c r="J10" i="20"/>
  <c r="M10" i="20" s="1"/>
  <c r="N10" i="20" s="1"/>
  <c r="J33" i="19"/>
  <c r="M33" i="19" s="1"/>
  <c r="N33" i="19" s="1"/>
  <c r="T31" i="19"/>
  <c r="S31" i="19"/>
  <c r="S30" i="19"/>
  <c r="T30" i="19" s="1"/>
  <c r="T29" i="19"/>
  <c r="S29" i="19"/>
  <c r="J30" i="19"/>
  <c r="M30" i="19" s="1"/>
  <c r="N30" i="19" s="1"/>
  <c r="M29" i="19"/>
  <c r="J29" i="19"/>
  <c r="N29" i="19"/>
  <c r="T27" i="19"/>
  <c r="S27" i="19"/>
  <c r="S26" i="19"/>
  <c r="T26" i="19" s="1"/>
  <c r="T25" i="19"/>
  <c r="S25" i="19"/>
  <c r="S24" i="19"/>
  <c r="T24" i="19" s="1"/>
  <c r="M24" i="19"/>
  <c r="N24" i="19" s="1"/>
  <c r="J24" i="19"/>
  <c r="T19" i="19"/>
  <c r="S19" i="19"/>
  <c r="M15" i="19"/>
  <c r="J15" i="19"/>
  <c r="N15" i="19"/>
  <c r="T18" i="19"/>
  <c r="S18" i="19"/>
  <c r="S17" i="19"/>
  <c r="T17" i="19" s="1"/>
  <c r="T16" i="19"/>
  <c r="S16" i="19"/>
  <c r="S15" i="19"/>
  <c r="T15" i="19" s="1"/>
  <c r="T14" i="19"/>
  <c r="S14" i="19"/>
  <c r="J14" i="19"/>
  <c r="M14" i="19" s="1"/>
  <c r="N14" i="19" s="1"/>
  <c r="J13" i="19"/>
  <c r="M13" i="19" s="1"/>
  <c r="N13" i="19" s="1"/>
  <c r="T13" i="19"/>
  <c r="S13" i="19"/>
  <c r="S12" i="19"/>
  <c r="T12" i="19" s="1"/>
  <c r="M12" i="19"/>
  <c r="N12" i="19" s="1"/>
  <c r="J12" i="19"/>
  <c r="M10" i="19"/>
  <c r="N10" i="19" s="1"/>
  <c r="J10" i="19"/>
  <c r="S10" i="19"/>
  <c r="T10" i="19" s="1"/>
  <c r="M22" i="18"/>
  <c r="N22" i="18" s="1"/>
  <c r="J22" i="18"/>
  <c r="S20" i="18"/>
  <c r="T20" i="18" s="1"/>
  <c r="T19" i="18"/>
  <c r="S19" i="18"/>
  <c r="S18" i="18"/>
  <c r="T18" i="18" s="1"/>
  <c r="T17" i="18"/>
  <c r="S17" i="18"/>
  <c r="J18" i="18"/>
  <c r="M18" i="18" s="1"/>
  <c r="N18" i="18" s="1"/>
  <c r="M17" i="18"/>
  <c r="J17" i="18"/>
  <c r="N17" i="18"/>
  <c r="T15" i="18"/>
  <c r="S15" i="18"/>
  <c r="S14" i="18"/>
  <c r="T14" i="18" s="1"/>
  <c r="M15" i="18"/>
  <c r="N15" i="18" s="1"/>
  <c r="J15" i="18"/>
  <c r="M14" i="18"/>
  <c r="N14" i="18" s="1"/>
  <c r="J14" i="18"/>
  <c r="S13" i="18"/>
  <c r="T13" i="18" s="1"/>
  <c r="T12" i="18"/>
  <c r="S12" i="18"/>
  <c r="J13" i="18"/>
  <c r="M13" i="18" s="1"/>
  <c r="N13" i="18" s="1"/>
  <c r="J12" i="18"/>
  <c r="M12" i="18" s="1"/>
  <c r="N12" i="18" s="1"/>
  <c r="M11" i="18"/>
  <c r="N11" i="18" s="1"/>
  <c r="J11" i="18"/>
  <c r="T11" i="18"/>
  <c r="S11" i="18"/>
  <c r="M10" i="18"/>
  <c r="J10" i="18"/>
  <c r="N10" i="18"/>
  <c r="T10" i="18"/>
  <c r="S10" i="18"/>
  <c r="M28" i="17"/>
  <c r="J28" i="17"/>
  <c r="N28" i="17"/>
  <c r="S26" i="17"/>
  <c r="T26" i="17" s="1"/>
  <c r="S25" i="17"/>
  <c r="T25" i="17" s="1"/>
  <c r="J26" i="17"/>
  <c r="M26" i="17" s="1"/>
  <c r="N26" i="17" s="1"/>
  <c r="M25" i="17"/>
  <c r="N25" i="17" s="1"/>
  <c r="J25" i="17"/>
  <c r="S22" i="17"/>
  <c r="T22" i="17" s="1"/>
  <c r="S21" i="17"/>
  <c r="T21" i="17" s="1"/>
  <c r="S20" i="17"/>
  <c r="T20" i="17" s="1"/>
  <c r="M22" i="17"/>
  <c r="N22" i="17"/>
  <c r="J22" i="17"/>
  <c r="M21" i="17"/>
  <c r="N21" i="17" s="1"/>
  <c r="J21" i="17"/>
  <c r="J20" i="17"/>
  <c r="M20" i="17" s="1"/>
  <c r="N20" i="17" s="1"/>
  <c r="T18" i="17"/>
  <c r="S18" i="17"/>
  <c r="T17" i="17"/>
  <c r="S17" i="17"/>
  <c r="T16" i="17"/>
  <c r="S16" i="17"/>
  <c r="T15" i="17"/>
  <c r="S15" i="17"/>
  <c r="T14" i="17"/>
  <c r="S14" i="17"/>
  <c r="T13" i="17"/>
  <c r="S13" i="17"/>
  <c r="M16" i="17"/>
  <c r="J16" i="17"/>
  <c r="N16" i="17"/>
  <c r="J15" i="17"/>
  <c r="M15" i="17" s="1"/>
  <c r="N15" i="17" s="1"/>
  <c r="M14" i="17"/>
  <c r="N14" i="17" s="1"/>
  <c r="J14" i="17"/>
  <c r="S12" i="17"/>
  <c r="T12" i="17" s="1"/>
  <c r="M13" i="17"/>
  <c r="N13" i="17"/>
  <c r="J13" i="17"/>
  <c r="M12" i="17"/>
  <c r="N12" i="17" s="1"/>
  <c r="J12" i="17"/>
  <c r="S10" i="17"/>
  <c r="T10" i="17" s="1"/>
  <c r="M32" i="14"/>
  <c r="J32" i="14"/>
  <c r="N32" i="14"/>
  <c r="S30" i="14"/>
  <c r="T30" i="14" s="1"/>
  <c r="S29" i="14"/>
  <c r="T29" i="14" s="1"/>
  <c r="S28" i="14"/>
  <c r="T28" i="14" s="1"/>
  <c r="J29" i="14"/>
  <c r="M29" i="14" s="1"/>
  <c r="N29" i="14" s="1"/>
  <c r="M28" i="14"/>
  <c r="J28" i="14"/>
  <c r="N28" i="14"/>
  <c r="J23" i="14"/>
  <c r="M23" i="14" s="1"/>
  <c r="N23" i="14" s="1"/>
  <c r="M22" i="14"/>
  <c r="N22" i="14" s="1"/>
  <c r="J22" i="14"/>
  <c r="S26" i="14"/>
  <c r="T26" i="14" s="1"/>
  <c r="M21" i="14"/>
  <c r="N21" i="14"/>
  <c r="J21" i="14"/>
  <c r="T25" i="14"/>
  <c r="S25" i="14"/>
  <c r="T24" i="14"/>
  <c r="S24" i="14"/>
  <c r="T23" i="14"/>
  <c r="S23" i="14"/>
  <c r="T22" i="14"/>
  <c r="S22" i="14"/>
  <c r="M20" i="14"/>
  <c r="N20" i="14" s="1"/>
  <c r="J20" i="14"/>
  <c r="S21" i="14"/>
  <c r="T21" i="14" s="1"/>
  <c r="S20" i="14"/>
  <c r="T20" i="14" s="1"/>
  <c r="S19" i="14"/>
  <c r="T19" i="14" s="1"/>
  <c r="S18" i="14"/>
  <c r="T18" i="14" s="1"/>
  <c r="J19" i="14"/>
  <c r="M19" i="14" s="1"/>
  <c r="N19" i="14" s="1"/>
  <c r="M18" i="14"/>
  <c r="J18" i="14"/>
  <c r="N18" i="14"/>
  <c r="S17" i="14"/>
  <c r="T17" i="14" s="1"/>
  <c r="J17" i="14"/>
  <c r="M17" i="14" s="1"/>
  <c r="N17" i="14" s="1"/>
  <c r="M12" i="14"/>
  <c r="J12" i="14"/>
  <c r="N12" i="14"/>
  <c r="M11" i="14"/>
  <c r="N11" i="14"/>
  <c r="J11" i="14"/>
  <c r="M10" i="14"/>
  <c r="N10" i="14" s="1"/>
  <c r="J10" i="14"/>
  <c r="S13" i="14"/>
  <c r="T13" i="14" s="1"/>
  <c r="S12" i="14"/>
  <c r="T12" i="14" s="1"/>
  <c r="S11" i="14"/>
  <c r="T11" i="14" s="1"/>
  <c r="S10" i="14"/>
  <c r="T10" i="14" s="1"/>
  <c r="J28" i="13"/>
  <c r="M28" i="13" s="1"/>
  <c r="N28" i="13" s="1"/>
  <c r="S26" i="13"/>
  <c r="T26" i="13" s="1"/>
  <c r="T25" i="13"/>
  <c r="S25" i="13"/>
  <c r="S24" i="13"/>
  <c r="T24" i="13" s="1"/>
  <c r="M25" i="13"/>
  <c r="N25" i="13" s="1"/>
  <c r="J25" i="13"/>
  <c r="J24" i="13"/>
  <c r="M24" i="13" s="1"/>
  <c r="N24" i="13" s="1"/>
  <c r="T22" i="13"/>
  <c r="S22" i="13"/>
  <c r="T21" i="13"/>
  <c r="S21" i="13"/>
  <c r="T20" i="13"/>
  <c r="S20" i="13"/>
  <c r="T19" i="13"/>
  <c r="S19" i="13"/>
  <c r="M21" i="13"/>
  <c r="J21" i="13"/>
  <c r="N21" i="13"/>
  <c r="M20" i="13"/>
  <c r="N20" i="13" s="1"/>
  <c r="J20" i="13"/>
  <c r="M19" i="13"/>
  <c r="N19" i="13" s="1"/>
  <c r="J19" i="13"/>
  <c r="S17" i="13"/>
  <c r="T17" i="13" s="1"/>
  <c r="T16" i="13"/>
  <c r="S16" i="13"/>
  <c r="S15" i="13"/>
  <c r="T15" i="13" s="1"/>
  <c r="T14" i="13"/>
  <c r="S14" i="13"/>
  <c r="J13" i="13"/>
  <c r="M13" i="13" s="1"/>
  <c r="N13" i="13" s="1"/>
  <c r="M12" i="13"/>
  <c r="J12" i="13"/>
  <c r="N12" i="13"/>
  <c r="T13" i="13"/>
  <c r="S13" i="13"/>
  <c r="S12" i="13"/>
  <c r="T12" i="13" s="1"/>
  <c r="T11" i="13"/>
  <c r="S11" i="13"/>
  <c r="J11" i="13"/>
  <c r="M11" i="13" s="1"/>
  <c r="N11" i="13" s="1"/>
  <c r="M10" i="13"/>
  <c r="J10" i="13"/>
  <c r="N10" i="13"/>
  <c r="S10" i="13"/>
  <c r="T10" i="13" s="1"/>
  <c r="J27" i="11"/>
  <c r="M27" i="11" s="1"/>
  <c r="N27" i="11" s="1"/>
  <c r="S25" i="11"/>
  <c r="T25" i="11" s="1"/>
  <c r="S24" i="11"/>
  <c r="T24" i="11" s="1"/>
  <c r="J25" i="11"/>
  <c r="M25" i="11" s="1"/>
  <c r="N25" i="11" s="1"/>
  <c r="M24" i="11"/>
  <c r="N24" i="11" s="1"/>
  <c r="J24" i="11"/>
  <c r="S22" i="11"/>
  <c r="T22" i="11" s="1"/>
  <c r="S21" i="11"/>
  <c r="T21" i="11" s="1"/>
  <c r="S20" i="11"/>
  <c r="T20" i="11" s="1"/>
  <c r="S19" i="11"/>
  <c r="T19" i="11" s="1"/>
  <c r="J20" i="11"/>
  <c r="M20" i="11" s="1"/>
  <c r="N20" i="11" s="1"/>
  <c r="M19" i="11"/>
  <c r="J19" i="11"/>
  <c r="N19" i="11"/>
  <c r="J15" i="11"/>
  <c r="M15" i="11" s="1"/>
  <c r="N15" i="11" s="1"/>
  <c r="T17" i="11"/>
  <c r="S17" i="11"/>
  <c r="T16" i="11"/>
  <c r="S16" i="11"/>
  <c r="T15" i="11"/>
  <c r="S15" i="11"/>
  <c r="T14" i="11"/>
  <c r="S14" i="11"/>
  <c r="T13" i="11"/>
  <c r="S13" i="11"/>
  <c r="M14" i="11"/>
  <c r="J14" i="11"/>
  <c r="N14" i="11"/>
  <c r="J13" i="11"/>
  <c r="M13" i="11" s="1"/>
  <c r="N13" i="11" s="1"/>
  <c r="T12" i="11"/>
  <c r="S12" i="11"/>
  <c r="M12" i="11"/>
  <c r="J12" i="11"/>
  <c r="N12" i="11"/>
  <c r="S10" i="11"/>
  <c r="T10" i="11" s="1"/>
  <c r="J28" i="10"/>
  <c r="M28" i="10" s="1"/>
  <c r="N28" i="10" s="1"/>
  <c r="S26" i="10"/>
  <c r="T26" i="10" s="1"/>
  <c r="S25" i="10"/>
  <c r="T25" i="10" s="1"/>
  <c r="S24" i="10"/>
  <c r="T24" i="10" s="1"/>
  <c r="S23" i="10"/>
  <c r="T23" i="10" s="1"/>
  <c r="J24" i="10"/>
  <c r="M24" i="10" s="1"/>
  <c r="N24" i="10" s="1"/>
  <c r="M23" i="10"/>
  <c r="N23" i="10" s="1"/>
  <c r="J23" i="10"/>
  <c r="M21" i="10"/>
  <c r="N21" i="10"/>
  <c r="J21" i="10"/>
  <c r="J20" i="10"/>
  <c r="M20" i="10" s="1"/>
  <c r="N20" i="10" s="1"/>
  <c r="J19" i="10"/>
  <c r="M19" i="10" s="1"/>
  <c r="N19" i="10" s="1"/>
  <c r="T15" i="10"/>
  <c r="S15" i="10"/>
  <c r="S14" i="10"/>
  <c r="T14" i="10" s="1"/>
  <c r="M18" i="10"/>
  <c r="N18" i="10" s="1"/>
  <c r="J18" i="10"/>
  <c r="J17" i="10"/>
  <c r="M17" i="10" s="1"/>
  <c r="N17" i="10" s="1"/>
  <c r="J16" i="10"/>
  <c r="M16" i="10" s="1"/>
  <c r="N16" i="10" s="1"/>
  <c r="J15" i="10"/>
  <c r="M15" i="10" s="1"/>
  <c r="N15" i="10" s="1"/>
  <c r="M14" i="10"/>
  <c r="N14" i="10" s="1"/>
  <c r="J14" i="10"/>
  <c r="S12" i="10"/>
  <c r="T12" i="10" s="1"/>
  <c r="S11" i="10"/>
  <c r="T11" i="10" s="1"/>
  <c r="J10" i="10"/>
  <c r="M10" i="10" s="1"/>
  <c r="N10" i="10" s="1"/>
  <c r="S10" i="10"/>
  <c r="T10" i="10" s="1"/>
  <c r="J26" i="7"/>
  <c r="M26" i="7" s="1"/>
  <c r="N26" i="7" s="1"/>
  <c r="T24" i="7"/>
  <c r="S24" i="7"/>
  <c r="T23" i="7"/>
  <c r="S23" i="7"/>
  <c r="M24" i="7"/>
  <c r="N24" i="7" s="1"/>
  <c r="J24" i="7"/>
  <c r="J23" i="7"/>
  <c r="M23" i="7" s="1"/>
  <c r="N23" i="7" s="1"/>
  <c r="T21" i="7"/>
  <c r="S21" i="7"/>
  <c r="T20" i="7"/>
  <c r="S20" i="7"/>
  <c r="T19" i="7"/>
  <c r="S19" i="7"/>
  <c r="T18" i="7"/>
  <c r="S18" i="7"/>
  <c r="M19" i="7"/>
  <c r="J19" i="7"/>
  <c r="N19" i="7"/>
  <c r="J18" i="7"/>
  <c r="M18" i="7" s="1"/>
  <c r="N18" i="7" s="1"/>
  <c r="M15" i="7"/>
  <c r="N15" i="7" s="1"/>
  <c r="J15" i="7"/>
  <c r="S16" i="7"/>
  <c r="T16" i="7" s="1"/>
  <c r="J14" i="7"/>
  <c r="M14" i="7" s="1"/>
  <c r="N14" i="7" s="1"/>
  <c r="T15" i="7"/>
  <c r="S15" i="7"/>
  <c r="T14" i="7"/>
  <c r="S14" i="7"/>
  <c r="T13" i="7"/>
  <c r="S13" i="7"/>
  <c r="T12" i="7"/>
  <c r="S12" i="7"/>
  <c r="M13" i="7"/>
  <c r="N13" i="7" s="1"/>
  <c r="J13" i="7"/>
  <c r="J12" i="7"/>
  <c r="M12" i="7" s="1"/>
  <c r="N12" i="7" s="1"/>
  <c r="T10" i="7"/>
  <c r="S10" i="7"/>
  <c r="T26" i="6"/>
  <c r="S26" i="6"/>
  <c r="T25" i="6"/>
  <c r="S25" i="6"/>
  <c r="T24" i="6"/>
  <c r="S24" i="6"/>
  <c r="J25" i="6"/>
  <c r="M25" i="6" s="1"/>
  <c r="N25" i="6" s="1"/>
  <c r="J24" i="6"/>
  <c r="M24" i="6" s="1"/>
  <c r="N24" i="6" s="1"/>
  <c r="T21" i="6"/>
  <c r="S21" i="6"/>
  <c r="T20" i="6"/>
  <c r="S20" i="6"/>
  <c r="T19" i="6"/>
  <c r="S19" i="6"/>
  <c r="M22" i="6"/>
  <c r="J22" i="6"/>
  <c r="N22" i="6"/>
  <c r="J21" i="6"/>
  <c r="M21" i="6" s="1"/>
  <c r="N21" i="6" s="1"/>
  <c r="M20" i="6"/>
  <c r="J20" i="6"/>
  <c r="M19" i="6"/>
  <c r="J19" i="6"/>
  <c r="N19" i="6"/>
  <c r="J14" i="6"/>
  <c r="M14" i="6" s="1"/>
  <c r="N14" i="6" s="1"/>
  <c r="T17" i="6"/>
  <c r="S17" i="6"/>
  <c r="T16" i="6"/>
  <c r="S16" i="6"/>
  <c r="T15" i="6"/>
  <c r="S15" i="6"/>
  <c r="T14" i="6"/>
  <c r="S14" i="6"/>
  <c r="T13" i="6"/>
  <c r="S13" i="6"/>
  <c r="T12" i="6"/>
  <c r="S12" i="6"/>
  <c r="T11" i="6"/>
  <c r="S11" i="6"/>
  <c r="M13" i="6"/>
  <c r="J13" i="6"/>
  <c r="N13" i="6"/>
  <c r="M12" i="6"/>
  <c r="N12" i="6"/>
  <c r="J12" i="6"/>
  <c r="M11" i="6"/>
  <c r="N11" i="6" s="1"/>
  <c r="J11" i="6"/>
  <c r="S10" i="6"/>
  <c r="T10" i="6" s="1"/>
  <c r="J10" i="6"/>
  <c r="M10" i="6" s="1"/>
  <c r="N10" i="6" s="1"/>
  <c r="M33" i="5"/>
  <c r="N33" i="5" s="1"/>
  <c r="J33" i="5"/>
  <c r="S31" i="5"/>
  <c r="T31" i="5" s="1"/>
  <c r="S30" i="5"/>
  <c r="T30" i="5" s="1"/>
  <c r="S29" i="5"/>
  <c r="T29" i="5" s="1"/>
  <c r="J30" i="5"/>
  <c r="M30" i="5" s="1"/>
  <c r="N30" i="5" s="1"/>
  <c r="M29" i="5"/>
  <c r="N29" i="5" s="1"/>
  <c r="J29" i="5"/>
  <c r="S27" i="5"/>
  <c r="T27" i="5" s="1"/>
  <c r="S26" i="5"/>
  <c r="T26" i="5" s="1"/>
  <c r="S25" i="5"/>
  <c r="T25" i="5" s="1"/>
  <c r="S24" i="5"/>
  <c r="T24" i="5" s="1"/>
  <c r="J24" i="5"/>
  <c r="M24" i="5" s="1"/>
  <c r="N24" i="5" s="1"/>
  <c r="T19" i="5"/>
  <c r="S19" i="5"/>
  <c r="M15" i="5"/>
  <c r="N15" i="5" s="1"/>
  <c r="J15" i="5"/>
  <c r="S18" i="5"/>
  <c r="T18" i="5" s="1"/>
  <c r="S17" i="5"/>
  <c r="T17" i="5" s="1"/>
  <c r="S16" i="5"/>
  <c r="T16" i="5" s="1"/>
  <c r="S15" i="5"/>
  <c r="T15" i="5" s="1"/>
  <c r="S14" i="5"/>
  <c r="T14" i="5" s="1"/>
  <c r="J14" i="5"/>
  <c r="M14" i="5" s="1"/>
  <c r="N14" i="5" s="1"/>
  <c r="M13" i="5"/>
  <c r="N13" i="5" s="1"/>
  <c r="J13" i="5"/>
  <c r="S13" i="5"/>
  <c r="T13" i="5" s="1"/>
  <c r="S12" i="5"/>
  <c r="T12" i="5" s="1"/>
  <c r="J12" i="5"/>
  <c r="M12" i="5" s="1"/>
  <c r="N12" i="5" s="1"/>
  <c r="J10" i="5"/>
  <c r="M10" i="5" s="1"/>
  <c r="N10" i="5" s="1"/>
  <c r="S10" i="5"/>
  <c r="T10" i="5" s="1"/>
  <c r="M28" i="3"/>
  <c r="N28" i="3" s="1"/>
  <c r="J28" i="3"/>
  <c r="S26" i="3"/>
  <c r="T26" i="3" s="1"/>
  <c r="S25" i="3"/>
  <c r="T25" i="3" s="1"/>
  <c r="J26" i="3"/>
  <c r="M26" i="3" s="1"/>
  <c r="N26" i="3" s="1"/>
  <c r="J25" i="3"/>
  <c r="M25" i="3" s="1"/>
  <c r="N25" i="3" s="1"/>
  <c r="S22" i="3"/>
  <c r="T22" i="3" s="1"/>
  <c r="S21" i="3"/>
  <c r="T21" i="3" s="1"/>
  <c r="S20" i="3"/>
  <c r="T20" i="3" s="1"/>
  <c r="J22" i="3"/>
  <c r="M22" i="3" s="1"/>
  <c r="N22" i="3" s="1"/>
  <c r="J21" i="3"/>
  <c r="M21" i="3" s="1"/>
  <c r="N21" i="3" s="1"/>
  <c r="M20" i="3"/>
  <c r="N20" i="3"/>
  <c r="J20" i="3"/>
  <c r="T18" i="3"/>
  <c r="S18" i="3"/>
  <c r="T17" i="3"/>
  <c r="S17" i="3"/>
  <c r="T16" i="3"/>
  <c r="S16" i="3"/>
  <c r="T15" i="3"/>
  <c r="S15" i="3"/>
  <c r="T14" i="3"/>
  <c r="S14" i="3"/>
  <c r="T13" i="3"/>
  <c r="S13" i="3"/>
  <c r="M16" i="3"/>
  <c r="N16" i="3" s="1"/>
  <c r="J16" i="3"/>
  <c r="J15" i="3"/>
  <c r="M15" i="3" s="1"/>
  <c r="N15" i="3" s="1"/>
  <c r="M14" i="3"/>
  <c r="J14" i="3"/>
  <c r="N14" i="3"/>
  <c r="S12" i="3"/>
  <c r="T12" i="3" s="1"/>
  <c r="J13" i="3"/>
  <c r="M13" i="3" s="1"/>
  <c r="N13" i="3" s="1"/>
  <c r="J12" i="3"/>
  <c r="M12" i="3" s="1"/>
  <c r="N12" i="3" s="1"/>
  <c r="S10" i="3"/>
  <c r="T10" i="3" s="1"/>
</calcChain>
</file>

<file path=xl/sharedStrings.xml><?xml version="1.0" encoding="utf-8"?>
<sst xmlns="http://schemas.openxmlformats.org/spreadsheetml/2006/main" count="4255" uniqueCount="612">
  <si>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</si>
  <si>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</si>
  <si>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</si>
  <si>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</si>
  <si>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</si>
  <si>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1‐2歳児</t>
    <rPh sb="3" eb="4">
      <t>サイ</t>
    </rPh>
    <rPh sb="4" eb="5">
      <t>ジ</t>
    </rPh>
    <phoneticPr fontId="4"/>
  </si>
  <si>
    <t>3‐5歳児</t>
    <rPh sb="3" eb="5">
      <t>サイジ</t>
    </rPh>
    <phoneticPr fontId="4"/>
  </si>
  <si>
    <t>職員</t>
    <rPh sb="0" eb="2">
      <t>ショクイン</t>
    </rPh>
    <phoneticPr fontId="4"/>
  </si>
  <si>
    <t>献立名</t>
    <rPh sb="0" eb="2">
      <t>コンダテ</t>
    </rPh>
    <rPh sb="2" eb="3">
      <t>メイ</t>
    </rPh>
    <phoneticPr fontId="4"/>
  </si>
  <si>
    <t>材料名</t>
    <rPh sb="0" eb="3">
      <t>ザイリョウメイ</t>
    </rPh>
    <phoneticPr fontId="4"/>
  </si>
  <si>
    <t>特定アレルゲン表示　　　　　　　　　　　　　　　　　　　　　　　　　　　　　　　　　　　　　　　　　　　　　　　　　　　　　　　　　　　　　　　　　　　　　　　　　　　　　　　　　　　　　　　　　　　　　　　　　　　　　　　　　　　　　　　　　　　　　　　　　　　　　　　　　　　　　　　　　　　　　　　　　　　　　　　　　　　　　　　※下記をご確認下さい</t>
    <rPh sb="0" eb="2">
      <t>トクテイ</t>
    </rPh>
    <rPh sb="7" eb="9">
      <t>ヒョウジ</t>
    </rPh>
    <rPh sb="169" eb="171">
      <t>カキ</t>
    </rPh>
    <rPh sb="173" eb="175">
      <t>カクニン</t>
    </rPh>
    <rPh sb="175" eb="176">
      <t>クダ</t>
    </rPh>
    <phoneticPr fontId="4"/>
  </si>
  <si>
    <t>1-2歳児</t>
    <rPh sb="3" eb="5">
      <t>サイジ</t>
    </rPh>
    <phoneticPr fontId="4"/>
  </si>
  <si>
    <t>単位</t>
    <rPh sb="0" eb="2">
      <t>タンイ</t>
    </rPh>
    <phoneticPr fontId="4"/>
  </si>
  <si>
    <t>産地</t>
    <rPh sb="0" eb="2">
      <t>サンチ</t>
    </rPh>
    <phoneticPr fontId="4"/>
  </si>
  <si>
    <t>3-5歳児</t>
    <rPh sb="3" eb="4">
      <t>サイ</t>
    </rPh>
    <rPh sb="4" eb="5">
      <t>ジ</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</si>
  <si>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</si>
  <si>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</si>
  <si>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</si>
  <si>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t>
    <rPh sb="1" eb="3">
      <t>テモ</t>
    </rPh>
    <rPh sb="4" eb="7">
      <t>チョウミリョウ</t>
    </rPh>
    <phoneticPr fontId="4"/>
  </si>
  <si>
    <t>１-2歳児分量
(g)</t>
    <rPh sb="3" eb="4">
      <t>サイ</t>
    </rPh>
    <rPh sb="4" eb="5">
      <t>ジ</t>
    </rPh>
    <rPh sb="5" eb="7">
      <t>ブンリョウ</t>
    </rPh>
    <phoneticPr fontId="4"/>
  </si>
  <si>
    <t>3-5歳児分量
(g)</t>
    <rPh sb="3" eb="5">
      <t>サイジ</t>
    </rPh>
    <rPh sb="5" eb="7">
      <t>ブンリョウ</t>
    </rPh>
    <phoneticPr fontId="4"/>
  </si>
  <si>
    <t>使用量総量</t>
    <rPh sb="0" eb="3">
      <t>シヨウリョウ</t>
    </rPh>
    <rPh sb="3" eb="5">
      <t>ソウリョウ</t>
    </rPh>
    <phoneticPr fontId="4"/>
  </si>
  <si>
    <t>キッズ</t>
    <phoneticPr fontId="4"/>
  </si>
  <si>
    <t>ご飯</t>
  </si>
  <si>
    <t>Ｐ</t>
  </si>
  <si>
    <t>出し汁</t>
  </si>
  <si>
    <t>醤油</t>
  </si>
  <si>
    <t>小麦</t>
  </si>
  <si>
    <t>※加熱調理する際は中心部75℃で1分以上加熱したことを確認して下さい。</t>
  </si>
  <si>
    <t>g</t>
  </si>
  <si>
    <t>酒</t>
  </si>
  <si>
    <t>片栗粉</t>
  </si>
  <si>
    <t>大根</t>
  </si>
  <si>
    <t>人参</t>
  </si>
  <si>
    <t>みりん風調味料</t>
  </si>
  <si>
    <t>キャベツ</t>
  </si>
  <si>
    <t>玉子</t>
  </si>
  <si>
    <t>卵</t>
  </si>
  <si>
    <t>ヶ</t>
  </si>
  <si>
    <t>バター</t>
  </si>
  <si>
    <t>乳</t>
  </si>
  <si>
    <t>精製塩</t>
  </si>
  <si>
    <t>こしょう</t>
  </si>
  <si>
    <t>すまし汁</t>
  </si>
  <si>
    <t>小麦※14</t>
    <phoneticPr fontId="19"/>
  </si>
  <si>
    <t>冷凍カット油揚げ</t>
  </si>
  <si>
    <t>昼</t>
  </si>
  <si>
    <t>牛乳</t>
  </si>
  <si>
    <t>cc</t>
  </si>
  <si>
    <t>小麦粉</t>
  </si>
  <si>
    <t>上白糖</t>
  </si>
  <si>
    <t>骨抜き助宗タラ３０</t>
  </si>
  <si>
    <t>・</t>
  </si>
  <si>
    <t>切</t>
  </si>
  <si>
    <t>油</t>
  </si>
  <si>
    <t>水</t>
  </si>
  <si>
    <t>玉ねぎ</t>
  </si>
  <si>
    <t>ケチャップ</t>
  </si>
  <si>
    <t>みそ汁</t>
  </si>
  <si>
    <t>味噌</t>
  </si>
  <si>
    <t>フルーツ（りんご）</t>
  </si>
  <si>
    <t>※原料のまま流水できれいに洗って下さい。</t>
  </si>
  <si>
    <t>りんご</t>
  </si>
  <si>
    <t>10月30日(金)配達/11月2日(月)食</t>
    <phoneticPr fontId="4"/>
  </si>
  <si>
    <t>豆腐の野菜あんかけ</t>
  </si>
  <si>
    <t>①豆腐は食べやすい大きさに切って茹でます。肉・野菜は食べやすい大きさに切って、肉は酒をふります。_x000D_</t>
  </si>
  <si>
    <t>※とろみをみて水溶き片栗粉の量は調節してください。_x000D_</t>
  </si>
  <si>
    <t>充てん豆腐</t>
  </si>
  <si>
    <t>丁</t>
  </si>
  <si>
    <t>国産豚もも小間</t>
  </si>
  <si>
    <t>冷凍カットインゲンＰ</t>
  </si>
  <si>
    <t>ごま油</t>
  </si>
  <si>
    <t>①戻したひじきは、やわらかくなるまで茹でて冷まします。_x000D_</t>
  </si>
  <si>
    <t>②食べやすい大きさに切った野菜は茹で冷まします。ツナは汁気をきります。_x000D_</t>
  </si>
  <si>
    <t>③煮立て冷ました調味料で、①・②を和えて下さい。_x000D_</t>
  </si>
  <si>
    <t>ひじきＰ</t>
  </si>
  <si>
    <t>白菜</t>
  </si>
  <si>
    <t>ツナフレーク缶</t>
  </si>
  <si>
    <t>マヨネーズ</t>
  </si>
  <si>
    <t>卵・小麦</t>
  </si>
  <si>
    <t>冷凍カット小松菜(ＩＱＦ)Ｐ</t>
  </si>
  <si>
    <t>ごぼう</t>
  </si>
  <si>
    <t>フルーツ（オレンジ）</t>
  </si>
  <si>
    <t>ネーブル</t>
  </si>
  <si>
    <t>焼ふ</t>
  </si>
  <si>
    <t>枚</t>
  </si>
  <si>
    <t>ウスターソース</t>
  </si>
  <si>
    <t>トマト</t>
  </si>
  <si>
    <t>酢</t>
  </si>
  <si>
    <t>かぶ</t>
  </si>
  <si>
    <t>冷凍キヌサヤＰ</t>
  </si>
  <si>
    <t>ポークカレーライス</t>
  </si>
  <si>
    <t>①材料を食べやすい大きさに切って、肉は酒をふり、芋は水にさらします。_x000D_</t>
  </si>
  <si>
    <t>②熱した油で肉・野菜を炒めて、水・牛乳を加えて煮ます。_x000D_</t>
  </si>
  <si>
    <t>③材料が柔らかくなったらルーを加えて煮込み、砂糖・ケチャップで味を調えて下さい。_x000D_</t>
  </si>
  <si>
    <t>※水の量は調節して下さい。_x000D_</t>
  </si>
  <si>
    <t>じゃが芋</t>
  </si>
  <si>
    <t>とろけるカレー　甘口</t>
  </si>
  <si>
    <t>きゅうりのコーンサラダ</t>
  </si>
  <si>
    <t>①材料は食べやすい大きさに切って茹で冷まします。_x000D_</t>
  </si>
  <si>
    <t>②①を煮たて冷ました調味料で和えて下さい。_x000D_</t>
  </si>
  <si>
    <t>きゅうり</t>
  </si>
  <si>
    <t>冷凍カーネルコーンＰ</t>
  </si>
  <si>
    <t>フルーツ（柿）</t>
  </si>
  <si>
    <t>柿</t>
  </si>
  <si>
    <t>⑤刻んで茹でた万能ねぎを散らして下さい。_x000D_</t>
  </si>
  <si>
    <t>万能ねぎ</t>
  </si>
  <si>
    <t>※誤嚥防止のために豆は軽く潰してもよいでしょう。_x000D_</t>
  </si>
  <si>
    <t>冷凍国産大豆Ｐ</t>
  </si>
  <si>
    <t>いり胡麻　白</t>
  </si>
  <si>
    <t>あおさ粉</t>
  </si>
  <si>
    <t>中国・国内製造</t>
  </si>
  <si>
    <t>フルーツ（黄桃缶）</t>
  </si>
  <si>
    <t>黄桃缶</t>
  </si>
  <si>
    <t>11月2日(月)配達/11月4日(水)食</t>
    <phoneticPr fontId="4"/>
  </si>
  <si>
    <t>鉄分強化！ふりかけごはん</t>
  </si>
  <si>
    <t>鉄ふりかけ　大豆</t>
  </si>
  <si>
    <t>小麦※18</t>
    <phoneticPr fontId="19"/>
  </si>
  <si>
    <t>②熱した油で玉ねぎを炒めて、塩・こしょうで調味します。_x000D_</t>
  </si>
  <si>
    <t>④ホワイトソースに②・ほうれん草を加えて混ぜます。_x000D_</t>
  </si>
  <si>
    <t>骨抜き鮭３０</t>
  </si>
  <si>
    <t>ほうれん草</t>
  </si>
  <si>
    <t>パン粉</t>
  </si>
  <si>
    <t>かぼちゃの塩バター煮</t>
  </si>
  <si>
    <t>①かぼちゃは角切りにし、水（かぼちゃの半分ぐらいの高さ）・砂糖・塩で煮ます。_x000D_</t>
  </si>
  <si>
    <t>※水分をとばすのは、こふき芋を作る要領です。_x000D_</t>
  </si>
  <si>
    <t>かぼちゃ</t>
  </si>
  <si>
    <t>スープ</t>
  </si>
  <si>
    <t>コンソメ</t>
  </si>
  <si>
    <t>乳・小麦</t>
  </si>
  <si>
    <t>国産豚挽肉</t>
  </si>
  <si>
    <t>刻みのり</t>
  </si>
  <si>
    <t>※18</t>
  </si>
  <si>
    <t>れんこん</t>
  </si>
  <si>
    <t>11月4日(水)配達/11月5日(木)食</t>
    <phoneticPr fontId="4"/>
  </si>
  <si>
    <t>スパゲッティミートソース</t>
  </si>
  <si>
    <t>①スパゲッティはたっぷりのお湯で8～9分茹でてバターをからめます。_x000D_</t>
  </si>
  <si>
    <t>②玉ねぎ・人参はみじん切りにします。_x000D_</t>
  </si>
  <si>
    <t>④①に③をかけ、茹でたグリンピースを散らして下さい。_x000D_</t>
  </si>
  <si>
    <t>スパゲッティ</t>
  </si>
  <si>
    <t>冷凍グリンピースＰ</t>
  </si>
  <si>
    <t>②調味料を煮立て冷まし、①を和えて下さい。_x000D_</t>
  </si>
  <si>
    <t>ブロッコリー</t>
  </si>
  <si>
    <t>すり胡麻　白</t>
  </si>
  <si>
    <t>カットワカメ</t>
  </si>
  <si>
    <t>国産鶏もも小間(加熱用)</t>
  </si>
  <si>
    <t>小松菜</t>
  </si>
  <si>
    <t>えのき茸</t>
  </si>
  <si>
    <t>11月5日(木)配達/11月6日(金)食</t>
    <phoneticPr fontId="4"/>
  </si>
  <si>
    <t>カラスカレイの竜田揚げ</t>
  </si>
  <si>
    <t>②①に片栗粉をまぶして揚げます。_x000D_</t>
  </si>
  <si>
    <t>骨抜きカラスカレイ３０</t>
  </si>
  <si>
    <t>生姜</t>
  </si>
  <si>
    <t>もやしと人参のサラダ</t>
  </si>
  <si>
    <t>①食べやすい大きさに切った野菜は茹で冷まします。_x000D_</t>
  </si>
  <si>
    <t>②①を煮立て冷ました調味料で和えて下さい。_x000D_</t>
  </si>
  <si>
    <t>もやし</t>
  </si>
  <si>
    <t>花ふ</t>
  </si>
  <si>
    <t>フルーツ（バナナ）</t>
  </si>
  <si>
    <t>バナナ</t>
  </si>
  <si>
    <t>本</t>
  </si>
  <si>
    <t>厚揚げ</t>
  </si>
  <si>
    <t>水菜</t>
  </si>
  <si>
    <t>冷凍むき枝豆Ｐ</t>
  </si>
  <si>
    <t>フルーツ（パイン缶）</t>
  </si>
  <si>
    <t>しめじ</t>
  </si>
  <si>
    <t>11月6日(金)配達/11月9日(月)食</t>
    <phoneticPr fontId="4"/>
  </si>
  <si>
    <t>コーンピラフ</t>
  </si>
  <si>
    <t>①研いだ米に調味料・水（通常の水加減）を加えて軽く混ぜます。_x000D_</t>
  </si>
  <si>
    <t>②上にコーンを広げてのせ、炊飯して下さい。_x000D_</t>
  </si>
  <si>
    <t>①玉ねぎは薄切りに、その他の材料は食べやすく角切りにし、芋は水にさらします。_x000D_</t>
  </si>
  <si>
    <t>②材料を炒め合わせて、水を加えて煮ます。_x000D_</t>
  </si>
  <si>
    <t>ハウス　クリームシチューミクス</t>
  </si>
  <si>
    <t>パセリ</t>
  </si>
  <si>
    <t>トマトときゅうりのサラダ</t>
  </si>
  <si>
    <t>①トマトは茹でて食べやすい大きさに切って冷まし、きゅうりは食べやすい大きさに切って茹で冷まします。_x000D_</t>
  </si>
  <si>
    <t>②調味料を煮立て冷まし、①を加え和えて下さい。_x000D_</t>
  </si>
  <si>
    <t>フルーツ(りんご)</t>
  </si>
  <si>
    <t>11月9日(月)配達/11月10日(火)食</t>
    <phoneticPr fontId="4"/>
  </si>
  <si>
    <t>②魚を多めの油で焼き、れんこんを加えて炒め合わせ、最後にキヌサヤを加えてかるく炒めます。_x000D_</t>
  </si>
  <si>
    <t>キヌサヤ</t>
  </si>
  <si>
    <t>キャベツと人参のサラダ</t>
  </si>
  <si>
    <t>①野菜は食べやすい大きさに切って茹で冷まします。_x000D_</t>
  </si>
  <si>
    <t>肉うどん</t>
  </si>
  <si>
    <t>①麺は12分程茹でて洗います。_x000D_</t>
  </si>
  <si>
    <t>②材料は食べやすい大きさに切り、肉は酒をふります。_x000D_</t>
  </si>
  <si>
    <t>③熱した油で肉・野菜を炒めます。だし汁を加えて煮、具材に火が通ったら調味料を加えます。_x000D_</t>
  </si>
  <si>
    <t>④麺を器に盛って③をかけて下さい。_x000D_</t>
  </si>
  <si>
    <t>（干）うどん</t>
  </si>
  <si>
    <t>厚揚げのきのこあんかけ</t>
  </si>
  <si>
    <t>①厚揚げは油抜きして水気をきり、食べやすい大きさに切ります。_x000D_</t>
  </si>
  <si>
    <t>②①を出し汁・砂糖・醤油で煮て味をしみ込ませます。_x000D_</t>
  </si>
  <si>
    <t>③きのこは石づきを取って食べやすい大きさに切りほぐします。_x000D_</t>
  </si>
  <si>
    <t>①野菜は食べやすい大きさに切り、茹で冷まします。_x000D_</t>
  </si>
  <si>
    <t>11月11日(水)配達/11月12日(木)食</t>
    <phoneticPr fontId="4"/>
  </si>
  <si>
    <t>①肉は食べやすい大きさに切って、玉ねぎはみじん切りします。_x000D_</t>
  </si>
  <si>
    <t>②肉・野菜の順にバターで炒め合わせて、塩・ケチャップを加えます。_x000D_</t>
  </si>
  <si>
    <t>③炊き上がったご飯に②・茹でたグリンピースを混ぜ込みます。_x000D_</t>
  </si>
  <si>
    <t>④玉子は塩・こしょうで調味して炒り玉子にします。_x000D_</t>
  </si>
  <si>
    <t>⑤器に③のごはんを盛り、④を添えてケチャップをかけて下さい。_x000D_</t>
  </si>
  <si>
    <t>※玉子は薄焼き玉子にして、覆いかぶせてオムライスにしてもよいでしょう。_x000D_</t>
  </si>
  <si>
    <t>白菜と人参のごまサラダ</t>
  </si>
  <si>
    <t>②調味料・ごまを煮立て冷まし、①を和えて下さい。_x000D_</t>
  </si>
  <si>
    <t>11月12日(木)配達/11月13日(金)食</t>
    <phoneticPr fontId="4"/>
  </si>
  <si>
    <t>●花ちらし寿司</t>
  </si>
  <si>
    <t>①砂糖・塩・酢を煮立たせて、炊き上がったご飯に混ぜます。_x000D_</t>
  </si>
  <si>
    <t>②汁気をきったツナを①に混ぜます。_x000D_</t>
  </si>
  <si>
    <t>③輪切りにしたきゅうり・コーンは茹で冷まします。_x000D_</t>
  </si>
  <si>
    <t>④ご飯を花の形に盛り付け、上に③を彩りよく盛り付けて下さい。_x000D_</t>
  </si>
  <si>
    <t>※写真を参考に盛り付けて下さい。_x000D_</t>
  </si>
  <si>
    <t>●にっこりハンバーグ</t>
  </si>
  <si>
    <t>①玉ねぎはみじん切りにして炒め、冷まします。_x000D_</t>
  </si>
  <si>
    <t>※写真を参考に盛りつけて下さい。_x000D_</t>
  </si>
  <si>
    <t>木綿豆腐</t>
  </si>
  <si>
    <t>高野豆腐４個入</t>
  </si>
  <si>
    <t>11月13日(金)配達/11月16日(月)食</t>
    <phoneticPr fontId="4"/>
  </si>
  <si>
    <t>11月16日(月)配達/11月17日(火)食</t>
    <phoneticPr fontId="4"/>
  </si>
  <si>
    <t>11月17日(火)配達/11月18日(水)食</t>
    <phoneticPr fontId="4"/>
  </si>
  <si>
    <t>11月18日(水)配達/11月19日(木)食</t>
    <phoneticPr fontId="4"/>
  </si>
  <si>
    <t>11月18日(水)配達/11月20日(金)食</t>
    <phoneticPr fontId="4"/>
  </si>
  <si>
    <t>カリフラワーと人参のサラダ</t>
  </si>
  <si>
    <t>冷凍カリフラワー</t>
  </si>
  <si>
    <t>11月20日(金)配達/11月24日(火)食</t>
    <phoneticPr fontId="4"/>
  </si>
  <si>
    <t>冷凍レンコンスライスＰ</t>
  </si>
  <si>
    <t>冷凍乱切りキャベツＰ</t>
  </si>
  <si>
    <t>冷凍レッドピーマンスライス</t>
  </si>
  <si>
    <t>11月24日(火)配達/11月25日(水)食</t>
    <phoneticPr fontId="4"/>
  </si>
  <si>
    <t>①高野豆腐はお湯で戻して絞り、食べやすい大きさに切って小麦粉をまぶして揚げます。_x000D_</t>
  </si>
  <si>
    <t>②きのこは石づきを取って食べやすい大きさに切りほぐします。_x000D_</t>
  </si>
  <si>
    <t>④刻んで茹でた万能ねぎを散らして下さい。_x000D_</t>
  </si>
  <si>
    <t>11月25日(水)配達/11月26日(木)食</t>
    <phoneticPr fontId="4"/>
  </si>
  <si>
    <t>11月26日(木)配達/11月27日(金)食</t>
    <phoneticPr fontId="4"/>
  </si>
  <si>
    <t>●こぎつねご飯</t>
  </si>
  <si>
    <t>①石突を取って粗くみじん切りしたきのこ・油揚げは、出し汁・砂糖・酒・醤油で煮ます。_x000D_</t>
  </si>
  <si>
    <t>※ミートボールはお好みで加熱して下さい。_x000D_</t>
  </si>
  <si>
    <t>冷蔵イシイミートボール</t>
  </si>
  <si>
    <t>お豆腐ハンバーグ</t>
  </si>
  <si>
    <t>③千切りにしたキャベツは茹で、トマトは茹でて食べやすい大きさに切り、②に添えて下さい。_x000D_</t>
  </si>
  <si>
    <t>11月27日(金)配達/11月30日(月)食</t>
    <phoneticPr fontId="4"/>
  </si>
  <si>
    <t>白菜とひじきの</t>
    <phoneticPr fontId="19"/>
  </si>
  <si>
    <t>ツナマヨサラダ</t>
  </si>
  <si>
    <t xml:space="preserve">※芋をやわらかくなるまで電子レンジで加熱又は茹で冷まし、他の材料を煮込んだ後に加えると、
</t>
    <phoneticPr fontId="19"/>
  </si>
  <si>
    <t>煮崩れを防ぐことができます。</t>
  </si>
  <si>
    <t xml:space="preserve">※オーブンで焼かない場合は、魚に④をかけて、フライパンで炒ったパン粉（きつね色になるまで）をふって
</t>
    <phoneticPr fontId="19"/>
  </si>
  <si>
    <t xml:space="preserve">③バターを溶かし、小麦粉をよく炒めます。50～60℃に温めた牛乳を少量ずつ加えて注ぎのばし、
</t>
    <phoneticPr fontId="19"/>
  </si>
  <si>
    <t>ホワイトソースを作ります。</t>
  </si>
  <si>
    <t xml:space="preserve">①魚は食べやすい大きさに切って水気をよくとって塩をふり、グリル等で焼きます。
</t>
    <phoneticPr fontId="19"/>
  </si>
  <si>
    <t>玉ねぎは薄切りにします。ほうれん草は茹でて水気を絞り、ザク切りにします。</t>
  </si>
  <si>
    <t>焼いて下さい。</t>
  </si>
  <si>
    <t>焼いて下さい。</t>
    <phoneticPr fontId="19"/>
  </si>
  <si>
    <t xml:space="preserve">⑤天板に魚を並べて④をかけ、パン粉をかけて、強火のオーブンで5分程度（焦げ目がつくぐらいまで）
</t>
    <phoneticPr fontId="19"/>
  </si>
  <si>
    <t xml:space="preserve">②かぼちゃがやわらかくなり水分が少なくなってきたら、バターを加えてフタをしてゆすりながら
</t>
    <phoneticPr fontId="19"/>
  </si>
  <si>
    <t>軽く水分をとばし下さい。</t>
  </si>
  <si>
    <t>鮭とほうれん草の</t>
    <phoneticPr fontId="19"/>
  </si>
  <si>
    <t>グラタン風</t>
  </si>
  <si>
    <t xml:space="preserve">③熱した油で肉・②を炒め小麦粉を加えて全体に混ぜ合わせ、
</t>
    <phoneticPr fontId="19"/>
  </si>
  <si>
    <t>水・酒・ケチャップ・ウスターソース・砂糖を加えて煮立たせます。</t>
  </si>
  <si>
    <t xml:space="preserve">①野菜は食べやすい大きさに切って茹で冷まし、ツナは汁気を切ります。
</t>
    <phoneticPr fontId="19"/>
  </si>
  <si>
    <t>玉子は茹でて食べやすい大きさに切って冷まします。</t>
  </si>
  <si>
    <t>大根とブロッコリーの</t>
    <phoneticPr fontId="19"/>
  </si>
  <si>
    <t>玉子サラダ</t>
  </si>
  <si>
    <t xml:space="preserve">③芋は食べやすい大きさに切って茹で、やわらかくなったら汁気を切ります。
</t>
    <phoneticPr fontId="19"/>
  </si>
  <si>
    <t>再度火にかけて鍋をふりながら水分をとばして、塩・あおさ粉をふり、魚に添えて下さい。</t>
  </si>
  <si>
    <t>パイン缶　</t>
    <phoneticPr fontId="19"/>
  </si>
  <si>
    <t>野菜は食べやすい大きさに切ります。</t>
  </si>
  <si>
    <t>鶏肉と大豆の</t>
    <phoneticPr fontId="19"/>
  </si>
  <si>
    <t>クリームシチュー</t>
  </si>
  <si>
    <t>最後に牛乳を加えて煮、茹でて刻んだパセリを散らして下さい。</t>
  </si>
  <si>
    <t xml:space="preserve">①魚は食べやすい大きさに切り、水気をふき取って片栗粉をまぶします。
</t>
    <phoneticPr fontId="19"/>
  </si>
  <si>
    <t>野菜は食べやすい大きさに切り、れんこんは水にさらして水気をきります。</t>
  </si>
  <si>
    <t>助宗タラとれんこんの</t>
    <phoneticPr fontId="19"/>
  </si>
  <si>
    <t>甘辛焼き</t>
  </si>
  <si>
    <t>キャベツとレッドピーマンの</t>
    <phoneticPr fontId="19"/>
  </si>
  <si>
    <t>サラダ</t>
  </si>
  <si>
    <t>水溶き片栗粉でとろみをつけ、②にかけます。</t>
  </si>
  <si>
    <t xml:space="preserve">③熱したごま油で②を炒め、だし汁・みりん・醤油で煮ます。
</t>
    <phoneticPr fontId="19"/>
  </si>
  <si>
    <t>野菜が柔らかくなったら、水溶き片栗粉でとろみをつけ、①にかけます。</t>
  </si>
  <si>
    <t>揚げ高野豆腐の</t>
    <phoneticPr fontId="19"/>
  </si>
  <si>
    <t>きのこあんかけ</t>
  </si>
  <si>
    <t>ケチャップライスの</t>
    <phoneticPr fontId="19"/>
  </si>
  <si>
    <t>ふわふわ玉子のせ</t>
  </si>
  <si>
    <t xml:space="preserve">②①・肉・水切りした豆腐・パン粉・みそ・みりんを練り混ぜ、
</t>
    <phoneticPr fontId="19"/>
  </si>
  <si>
    <t>人数分の小判型にまとめてフライパン等で焼き、お皿に盛り付けます。</t>
  </si>
  <si>
    <t xml:space="preserve">③半月切りにした人参は水・バター・砂糖・塩で煮てクマの耳に、
</t>
    <phoneticPr fontId="19"/>
  </si>
  <si>
    <t>茹でた枝豆は鼻に見立てて盛り付けます。</t>
  </si>
  <si>
    <t>④食べやすい大きさに切って茹でたキャベツ・茹でて食べやすい大きさに切ったトマトを手前に盛り付け、</t>
    <phoneticPr fontId="19"/>
  </si>
  <si>
    <t>ケチャップで目・口を描いて下さい。</t>
  </si>
  <si>
    <t>★イベントメニュー★</t>
  </si>
  <si>
    <t>＜盛り付けイメージ＞</t>
    <rPh sb="1" eb="2">
      <t>モ</t>
    </rPh>
    <rPh sb="3" eb="4">
      <t>ツ</t>
    </rPh>
    <phoneticPr fontId="3"/>
  </si>
  <si>
    <t xml:space="preserve">③炊き上がったら具を全体に混ぜ込み、きつねの顔の形に盛ります。
</t>
    <phoneticPr fontId="19"/>
  </si>
  <si>
    <t>茹でたむき枝豆を目、ミートボールを鼻・刻み海苔をひげにして盛り付けて下さい。</t>
  </si>
  <si>
    <t xml:space="preserve">②研いだ米に醤油・水（調味料と合わせて通常の炊飯水量）を加えて軽く混ぜます。
</t>
    <phoneticPr fontId="19"/>
  </si>
  <si>
    <t>上に①を広げてのせ、炊飯します。</t>
  </si>
  <si>
    <t>②①・肉・よく水切りした豆腐・パン粉・みそ・みりんを練り混ぜ、</t>
    <phoneticPr fontId="19"/>
  </si>
  <si>
    <t>インゲンを散らして下さい。</t>
  </si>
  <si>
    <t>※牛乳はあらかじめ温めておくとだまになりにくくなります。</t>
  </si>
  <si>
    <t>①魚は食べやすい大きさに切り、水けをふきとって生姜汁・醤油・みりんで下味をつけます。</t>
  </si>
  <si>
    <t>※芋をやわらかくなるまで電子レンジで加熱又は茹で冷まし、他の材料を煮込んだ後に加えると、</t>
    <phoneticPr fontId="19"/>
  </si>
  <si>
    <t xml:space="preserve">③材料が柔らかくなったらいったん火を止めてルーを溶かし、再び火にかけてコトコト煮込みます。
</t>
    <rPh sb="1" eb="3">
      <t>ザイリョウ</t>
    </rPh>
    <phoneticPr fontId="19"/>
  </si>
  <si>
    <t>③②に調味料・ごまを加えて全体に絡めてください。</t>
  </si>
  <si>
    <t xml:space="preserve">④熱したごま油で③を炒め、だし汁・みりん・醤油で煮ます。野菜が柔らかくなったら、
</t>
    <phoneticPr fontId="3"/>
  </si>
  <si>
    <t>小麦※14</t>
    <phoneticPr fontId="3"/>
  </si>
  <si>
    <t>使用量総量</t>
    <rPh sb="0" eb="3">
      <t>シヨウリョウ</t>
    </rPh>
    <rPh sb="3" eb="5">
      <t>ソウリョウ</t>
    </rPh>
    <phoneticPr fontId="3"/>
  </si>
  <si>
    <t>１-2歳児分量
(g)</t>
    <rPh sb="3" eb="4">
      <t>サイ</t>
    </rPh>
    <rPh sb="4" eb="5">
      <t>ジ</t>
    </rPh>
    <rPh sb="5" eb="7">
      <t>ブンリョウ</t>
    </rPh>
    <phoneticPr fontId="3"/>
  </si>
  <si>
    <t>3-5歳児分量
(g)</t>
    <rPh sb="3" eb="5">
      <t>サイジ</t>
    </rPh>
    <rPh sb="5" eb="7">
      <t>ブンリョウ</t>
    </rPh>
    <phoneticPr fontId="3"/>
  </si>
  <si>
    <t>特定アレルゲン表示　　　　　　　　　　　　　　　　　　　　　　　　　　　　　　　　　　　　　　　　　　　　　　　　　　　　　　　　　　　　　　　　　　　　　　　　　　　　　　　　　　　　　　　　　　　　　　　　　　　　　　　　　　　　　　　　　　　　　　　　　　　　　　　　　　　　　　　　　　　　　　　　　　　　　　　　　　　　　　　※下記をご確認下さい</t>
    <rPh sb="0" eb="2">
      <t>トクテイ</t>
    </rPh>
    <rPh sb="7" eb="9">
      <t>ヒョウジ</t>
    </rPh>
    <rPh sb="169" eb="171">
      <t>カキ</t>
    </rPh>
    <rPh sb="173" eb="175">
      <t>カクニン</t>
    </rPh>
    <rPh sb="175" eb="176">
      <t>クダ</t>
    </rPh>
    <phoneticPr fontId="3"/>
  </si>
  <si>
    <t>お手持ち調味料</t>
    <rPh sb="1" eb="3">
      <t>テモ</t>
    </rPh>
    <rPh sb="4" eb="7">
      <t>チョウミリョウ</t>
    </rPh>
    <phoneticPr fontId="3"/>
  </si>
  <si>
    <t>作り方</t>
    <rPh sb="0" eb="1">
      <t>ツク</t>
    </rPh>
    <rPh sb="2" eb="3">
      <t>カタ</t>
    </rPh>
    <phoneticPr fontId="3"/>
  </si>
  <si>
    <t>廃棄込量</t>
    <rPh sb="0" eb="2">
      <t>ハイキ</t>
    </rPh>
    <rPh sb="2" eb="3">
      <t>コミ</t>
    </rPh>
    <rPh sb="3" eb="4">
      <t>リョウ</t>
    </rPh>
    <phoneticPr fontId="3"/>
  </si>
  <si>
    <t>総使用量</t>
    <rPh sb="0" eb="1">
      <t>ソウ</t>
    </rPh>
    <rPh sb="1" eb="4">
      <t>シヨウリョウ</t>
    </rPh>
    <phoneticPr fontId="3"/>
  </si>
  <si>
    <t>産地</t>
    <rPh sb="0" eb="2">
      <t>サンチ</t>
    </rPh>
    <phoneticPr fontId="3"/>
  </si>
  <si>
    <t>単位</t>
    <rPh sb="0" eb="2">
      <t>タンイ</t>
    </rPh>
    <phoneticPr fontId="3"/>
  </si>
  <si>
    <t>1-2歳児</t>
    <rPh sb="3" eb="5">
      <t>サイジ</t>
    </rPh>
    <phoneticPr fontId="3"/>
  </si>
  <si>
    <t>材料名</t>
    <rPh sb="0" eb="3">
      <t>ザイリョウメイ</t>
    </rPh>
    <phoneticPr fontId="3"/>
  </si>
  <si>
    <t>3-5歳児</t>
    <rPh sb="3" eb="4">
      <t>サイ</t>
    </rPh>
    <rPh sb="4" eb="5">
      <t>ジ</t>
    </rPh>
    <phoneticPr fontId="3"/>
  </si>
  <si>
    <t>献立名</t>
    <rPh sb="0" eb="2">
      <t>コンダテ</t>
    </rPh>
    <rPh sb="2" eb="3">
      <t>メイ</t>
    </rPh>
    <phoneticPr fontId="3"/>
  </si>
  <si>
    <t>11月10日(火)配達/11月11日(水)食</t>
    <phoneticPr fontId="3"/>
  </si>
  <si>
    <t>職員</t>
    <rPh sb="0" eb="2">
      <t>ショクイン</t>
    </rPh>
    <phoneticPr fontId="3"/>
  </si>
  <si>
    <t>1‐2歳児</t>
    <rPh sb="3" eb="4">
      <t>サイ</t>
    </rPh>
    <rPh sb="4" eb="5">
      <t>ジ</t>
    </rPh>
    <phoneticPr fontId="3"/>
  </si>
  <si>
    <t>3‐5歳児</t>
    <rPh sb="3" eb="5">
      <t>サイジ</t>
    </rPh>
    <phoneticPr fontId="3"/>
  </si>
  <si>
    <t>夕</t>
    <rPh sb="0" eb="1">
      <t>ユウ</t>
    </rPh>
    <phoneticPr fontId="3"/>
  </si>
  <si>
    <t>おやつ</t>
    <phoneticPr fontId="3"/>
  </si>
  <si>
    <t>昼</t>
    <rPh sb="0" eb="1">
      <t>ヒル</t>
    </rPh>
    <phoneticPr fontId="3"/>
  </si>
  <si>
    <t>&lt;食数&gt;</t>
    <rPh sb="1" eb="2">
      <t>ショク</t>
    </rPh>
    <rPh sb="2" eb="3">
      <t>スウ</t>
    </rPh>
    <phoneticPr fontId="3"/>
  </si>
  <si>
    <t>予　　定　　献　　立　　表　</t>
    <rPh sb="0" eb="1">
      <t>ヨ</t>
    </rPh>
    <rPh sb="3" eb="4">
      <t>サダム</t>
    </rPh>
    <rPh sb="6" eb="7">
      <t>ケン</t>
    </rPh>
    <rPh sb="9" eb="10">
      <t>リツ</t>
    </rPh>
    <rPh sb="12" eb="13">
      <t>ヒョウ</t>
    </rPh>
    <phoneticPr fontId="3"/>
  </si>
  <si>
    <t>キッズ</t>
    <phoneticPr fontId="3"/>
  </si>
  <si>
    <t xml:space="preserve">提供してもよいでしょう。　　　
</t>
    <phoneticPr fontId="19"/>
  </si>
  <si>
    <t xml:space="preserve">②鍋にごま油を熱し、肉・野菜を炒め合わせて、出し汁・砂糖・醤油・みりんを加えて煮ます。
</t>
    <rPh sb="36" eb="37">
      <t>クワ</t>
    </rPh>
    <phoneticPr fontId="19"/>
  </si>
  <si>
    <t>③水溶き片栗粉でとろみをつけて豆腐にかけ、食べやすい大きさに切って茹でた</t>
    <phoneticPr fontId="19"/>
  </si>
  <si>
    <t xml:space="preserve">②調味料を煮立て冷まし、①と和えて下さい。
</t>
    <phoneticPr fontId="19"/>
  </si>
  <si>
    <t>離乳食</t>
    <rPh sb="0" eb="3">
      <t>リニュウショク</t>
    </rPh>
    <phoneticPr fontId="3"/>
  </si>
  <si>
    <t>10月30日(金)配達/11月2日(月)食</t>
    <phoneticPr fontId="3"/>
  </si>
  <si>
    <t xml:space="preserve">特定アレルギー表示
※下記をご確認下さい
</t>
    <phoneticPr fontId="3"/>
  </si>
  <si>
    <t>材料</t>
    <rPh sb="0" eb="2">
      <t>ザイリョウ</t>
    </rPh>
    <phoneticPr fontId="3"/>
  </si>
  <si>
    <t>調味料</t>
    <rPh sb="0" eb="3">
      <t>チョウミリョウ</t>
    </rPh>
    <phoneticPr fontId="3"/>
  </si>
  <si>
    <t>月齢</t>
    <rPh sb="0" eb="1">
      <t>ゲツ</t>
    </rPh>
    <rPh sb="1" eb="2">
      <t>レイ</t>
    </rPh>
    <phoneticPr fontId="3"/>
  </si>
  <si>
    <t>9～11ヶ月</t>
    <rPh sb="5" eb="6">
      <t>ゲツ</t>
    </rPh>
    <phoneticPr fontId="3"/>
  </si>
  <si>
    <t>7～8ヶ月</t>
    <rPh sb="4" eb="5">
      <t>ゲツ</t>
    </rPh>
    <phoneticPr fontId="3"/>
  </si>
  <si>
    <t>5～6ヶ月</t>
    <rPh sb="4" eb="5">
      <t>ゲツ</t>
    </rPh>
    <phoneticPr fontId="3"/>
  </si>
  <si>
    <t>大きさ</t>
    <rPh sb="0" eb="1">
      <t>オオ</t>
    </rPh>
    <phoneticPr fontId="3"/>
  </si>
  <si>
    <t>5ｍｍ～1ｃｍ</t>
    <phoneticPr fontId="3"/>
  </si>
  <si>
    <t>みじん切り、つぶし</t>
    <rPh sb="3" eb="4">
      <t>ギ</t>
    </rPh>
    <phoneticPr fontId="3"/>
  </si>
  <si>
    <t>すりつぶし</t>
    <phoneticPr fontId="3"/>
  </si>
  <si>
    <t>材料名</t>
    <rPh sb="0" eb="2">
      <t>ザイリョウ</t>
    </rPh>
    <rPh sb="2" eb="3">
      <t>メイ</t>
    </rPh>
    <phoneticPr fontId="3"/>
  </si>
  <si>
    <t>分量</t>
    <rPh sb="0" eb="2">
      <t>ブンリョウ</t>
    </rPh>
    <phoneticPr fontId="3"/>
  </si>
  <si>
    <t>かゆ</t>
  </si>
  <si>
    <t>おかゆ</t>
  </si>
  <si>
    <t>80～90</t>
  </si>
  <si>
    <t>50～80</t>
  </si>
  <si>
    <t>かゆペースト</t>
  </si>
  <si>
    <t>豆腐と豚肉のとろとろ煮</t>
  </si>
  <si>
    <t>豆腐と鶏肉のとろとろ煮</t>
  </si>
  <si>
    <t>豆腐の野菜煮ペースト</t>
  </si>
  <si>
    <t>鶏ささみ　(加熱用)</t>
  </si>
  <si>
    <t>適量</t>
  </si>
  <si>
    <t>白菜・小松菜ペースト</t>
  </si>
  <si>
    <t>少々</t>
  </si>
  <si>
    <t>白菜のサラダ</t>
  </si>
  <si>
    <t>11月2日(月)配達/11月4日(水)食</t>
    <phoneticPr fontId="3"/>
  </si>
  <si>
    <t xml:space="preserve">特定アレルギー表示
※下記をご確認下さい
</t>
    <phoneticPr fontId="3"/>
  </si>
  <si>
    <t>5ｍｍ～1ｃｍ</t>
    <phoneticPr fontId="3"/>
  </si>
  <si>
    <t>すりつぶし</t>
    <phoneticPr fontId="3"/>
  </si>
  <si>
    <t>鮭とほうれん草のミルク煮</t>
  </si>
  <si>
    <t>玉ねぎ・ほうれん草・かぼちゃペースト</t>
  </si>
  <si>
    <t>人参・豆腐ペースト</t>
  </si>
  <si>
    <t>かぼちゃのマッシュ</t>
  </si>
  <si>
    <t>りんごペースト</t>
    <phoneticPr fontId="3"/>
  </si>
  <si>
    <t>11月4日(水)配達/11月5日(木)食</t>
    <phoneticPr fontId="3"/>
  </si>
  <si>
    <t>豚肉と野菜のやわらか煮</t>
  </si>
  <si>
    <t>鶏肉と野菜のやわらか煮</t>
  </si>
  <si>
    <t>国産鶏モモ挽肉(加熱用)</t>
  </si>
  <si>
    <t>玉ねぎ・人参ペースト</t>
  </si>
  <si>
    <t>大根・ブロッコリーペースト</t>
  </si>
  <si>
    <t>白菜ペースト</t>
  </si>
  <si>
    <t>大根とブロッコリーの玉子サラダ</t>
  </si>
  <si>
    <t>卵黄</t>
  </si>
  <si>
    <t>11月5日(木)配達/11月6日(金)食</t>
    <phoneticPr fontId="3"/>
  </si>
  <si>
    <t>カラスカレイとじゃが芋のほくほく煮</t>
  </si>
  <si>
    <t>カラスカレイ・じゃが芋ペースト</t>
  </si>
  <si>
    <t>人参ペースト</t>
  </si>
  <si>
    <t>人参のサラダ</t>
  </si>
  <si>
    <t>バナナペースト</t>
  </si>
  <si>
    <t>11月6日(金)配達/11月9日(月)食</t>
    <phoneticPr fontId="3"/>
  </si>
  <si>
    <t>コーンかゆ</t>
  </si>
  <si>
    <t>コーンかゆペースト</t>
  </si>
  <si>
    <t>鶏肉と大豆のミルク煮</t>
  </si>
  <si>
    <t>鶏肉と野菜のミルク煮</t>
  </si>
  <si>
    <t>玉ねぎ・じゃが芋・人参ペースト</t>
  </si>
  <si>
    <t>トマトペースト</t>
  </si>
  <si>
    <t>りんごペースト</t>
  </si>
  <si>
    <t>11月9日(月)配達/11月10日(火)食</t>
    <phoneticPr fontId="3"/>
  </si>
  <si>
    <t>助宗タラとれんこんのだし煮</t>
  </si>
  <si>
    <t>助宗タラと人参のだし煮</t>
  </si>
  <si>
    <t>助宗タラ・人参ペースト</t>
  </si>
  <si>
    <t>キャベツペースト</t>
  </si>
  <si>
    <t>キャベツのサラダ</t>
  </si>
  <si>
    <t>11月10日(火)配達/11月11日(水)食</t>
    <phoneticPr fontId="3"/>
  </si>
  <si>
    <t xml:space="preserve">特定アレルギー表示
※下記をご確認下さい
</t>
    <phoneticPr fontId="3"/>
  </si>
  <si>
    <t>豚肉と野菜のくたくたうどん</t>
  </si>
  <si>
    <t>小麦※14</t>
    <phoneticPr fontId="3"/>
  </si>
  <si>
    <t>鶏肉と野菜のくたくたうどん</t>
  </si>
  <si>
    <t>うどんペースト</t>
  </si>
  <si>
    <t>大根・人参・小松菜ペースト</t>
  </si>
  <si>
    <t>11月11日(水)配達/11月12日(木)食</t>
    <phoneticPr fontId="3"/>
  </si>
  <si>
    <t>鶏肉の玉子とじ煮</t>
  </si>
  <si>
    <t>玉ねぎ・かぶペースト</t>
  </si>
  <si>
    <t>白菜・人参ペースト</t>
  </si>
  <si>
    <t>白菜と人参のサラダ</t>
  </si>
  <si>
    <t>11月12日(木)配達/11月13日(金)食</t>
    <phoneticPr fontId="3"/>
  </si>
  <si>
    <t>豚肉と豆腐のトマト煮</t>
  </si>
  <si>
    <t>鶏肉と豆腐のトマト煮</t>
  </si>
  <si>
    <t>豆腐と野菜のトマト煮ペースト</t>
  </si>
  <si>
    <t>キャベツ・大根ペースト</t>
  </si>
  <si>
    <t>キャベツときゅうりのサラダ</t>
  </si>
  <si>
    <t>11月13日(金)配達/11月16日(月)食</t>
    <phoneticPr fontId="3"/>
  </si>
  <si>
    <t>11月16日(月)配達/11月17日(火)食</t>
    <phoneticPr fontId="3"/>
  </si>
  <si>
    <t>豚肉と野菜のミルク煮</t>
  </si>
  <si>
    <t>じゃが芋ペースト</t>
  </si>
  <si>
    <t>きゅうりのサラダ</t>
  </si>
  <si>
    <t>離乳食</t>
  </si>
  <si>
    <t>11月17日(火)配達/11月18日(水)食</t>
    <phoneticPr fontId="3"/>
  </si>
  <si>
    <t>11月18日(水)配達/11月19日(木)食</t>
    <phoneticPr fontId="3"/>
  </si>
  <si>
    <t>11月18日(水)配達/11月20日(金)食</t>
    <phoneticPr fontId="3"/>
  </si>
  <si>
    <t>11月20日(金)配達/11月24日(火)食</t>
    <phoneticPr fontId="3"/>
  </si>
  <si>
    <t>助宗タラとレッドピーマンのだし煮</t>
  </si>
  <si>
    <t>助宗タラペースト</t>
  </si>
  <si>
    <t>11月24日(火)配達/11月25日(水)食</t>
    <phoneticPr fontId="3"/>
  </si>
  <si>
    <t xml:space="preserve">特定アレルギー表示
※下記をご確認下さい
</t>
    <phoneticPr fontId="3"/>
  </si>
  <si>
    <t>豚肉と大根のくたくたうどん</t>
  </si>
  <si>
    <t>鶏肉と大根のくたくたうどん</t>
  </si>
  <si>
    <t>大根ペースト</t>
  </si>
  <si>
    <t>人参・小松菜ペースト</t>
  </si>
  <si>
    <t>人参と小松菜のだし煮</t>
  </si>
  <si>
    <t>11月25日(水)配達/11月26日(木)食</t>
    <phoneticPr fontId="3"/>
  </si>
  <si>
    <t xml:space="preserve">特定アレルギー表示
※下記をご確認下さい
</t>
    <phoneticPr fontId="3"/>
  </si>
  <si>
    <t>11月26日(木)配達/11月27日(金)食</t>
    <phoneticPr fontId="3"/>
  </si>
  <si>
    <t>11月27日(金)配達/11月30日(月)食</t>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</si>
  <si>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</si>
  <si>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</si>
  <si>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</si>
  <si>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</si>
  <si>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使用食材一覧</t>
    <rPh sb="0" eb="2">
      <t>シヨウ</t>
    </rPh>
    <rPh sb="2" eb="4">
      <t>ショクザイ</t>
    </rPh>
    <rPh sb="4" eb="6">
      <t>イチラン</t>
    </rPh>
    <phoneticPr fontId="3"/>
  </si>
  <si>
    <t>月</t>
  </si>
  <si>
    <t>おかゆ・豆腐・豚肉・玉ねぎ・人参・インゲン・出し汁・砂糖・醤油・片栗粉・白菜・小松菜・ごぼう・味噌・オレンジ</t>
  </si>
  <si>
    <t>おかゆ・豆腐・鶏肉・玉ねぎ・人参・インゲン・出し汁・砂糖・醤油・片栗粉・白菜・小松菜・味噌・オレンジ</t>
  </si>
  <si>
    <t>おかゆ・豆腐・玉ねぎ・人参・インゲン・白菜・小松菜・オレンジ</t>
  </si>
  <si>
    <t>みそ汁・フルーツ（オレンジ）</t>
    <phoneticPr fontId="3"/>
  </si>
  <si>
    <t>みそ汁・フルーツ（オレンジ）</t>
    <phoneticPr fontId="3"/>
  </si>
  <si>
    <t>火</t>
  </si>
  <si>
    <t>おかゆ・豚肉・じゃが芋・玉ねぎ・人参・牛乳・水・精製塩・きゅうり・柿</t>
  </si>
  <si>
    <t>おかゆ・鶏肉・じゃが芋・玉ねぎ・人参・牛乳・水・精製塩・きゅうり・柿</t>
  </si>
  <si>
    <t>おかゆ・じゃが芋・玉ねぎ・人参</t>
  </si>
  <si>
    <t>おかゆ・鮭・玉ねぎ・ほうれん草・牛乳・水・精製塩・かぼちゃ・出し汁・人参・豆腐・りんご</t>
  </si>
  <si>
    <t>おかゆ・玉ねぎ・ほうれん草・かぼちゃ・人参・豆腐・りんご</t>
  </si>
  <si>
    <t>スープ・フルーツ（りんご）</t>
    <phoneticPr fontId="3"/>
  </si>
  <si>
    <t>木</t>
  </si>
  <si>
    <t>おかゆ・豚肉・玉ねぎ・人参・出し汁・砂糖・醤油・大根・ブロッコリー・玉子・白菜・水</t>
  </si>
  <si>
    <t>おかゆ・鶏肉・玉ねぎ・人参・出し汁・砂糖・醤油・大根・ブロッコリー・玉子・白菜・水</t>
  </si>
  <si>
    <t>おかゆ・玉ねぎ・人参・大根・ブロッコリー・白菜</t>
  </si>
  <si>
    <t>金</t>
  </si>
  <si>
    <t>おかゆ・カラスカレイ・じゃが芋・出し汁・もやし・人参・ごぼう・花ふ・味噌・バナナ</t>
  </si>
  <si>
    <t>おかゆ・カラスカレイ・じゃが芋・出し汁・人参・花ふ・味噌・バナナ</t>
  </si>
  <si>
    <t>おかゆ・カラスカレイ・じゃが芋・人参・バナナ</t>
  </si>
  <si>
    <t>おかゆ・カラスカレイ・じゃが芋・出し汁・カリフラワー・人参・ごぼう・花ふ・味噌・オレンジ</t>
  </si>
  <si>
    <t>おかゆ・カラスカレイ・じゃが芋・出し汁・人参・花ふ・味噌・オレンジ</t>
  </si>
  <si>
    <t>おかゆ・カラスカレイ・じゃが芋・人参・オレンジ</t>
  </si>
  <si>
    <t>みそ汁・フルーツ（バナナ）</t>
    <phoneticPr fontId="3"/>
  </si>
  <si>
    <t>おかゆ・コーン・鶏肉・玉ねぎ・じゃが芋・人参・大豆・牛乳・水・精製塩・トマト・きゅうり・りんご</t>
  </si>
  <si>
    <t>おかゆ・コーン・鶏肉・玉ねぎ・じゃが芋・人参・牛乳・水・精製塩・トマト・きゅうり・りんご</t>
  </si>
  <si>
    <t>おかゆ・コーン・玉ねぎ・じゃが芋・人参・トマト・りんご</t>
  </si>
  <si>
    <t>おかゆ・スケソウタラ・れんこん・赤ピーマン・出し汁・キャベツ・焼ふ・ワカメ・味噌</t>
  </si>
  <si>
    <t>おかゆ・スケソウタラ・赤ピーマン・出し汁・キャベツ・焼ふ・ワカメ・味噌</t>
  </si>
  <si>
    <t>おかゆ・スケソウタラ・キャベツ</t>
  </si>
  <si>
    <t>おかゆ・スケソウタラ・れんこん・人参・出し汁・キャベツ・焼ふ・ワカメ・味噌・柿</t>
  </si>
  <si>
    <t>おかゆ・スケソウタラ・人参・出し汁・キャベツ・焼ふ・ワカメ・味噌・柿</t>
  </si>
  <si>
    <t>おかゆ・スケソウタラ・人参・キャベツ</t>
  </si>
  <si>
    <t>うどん・豚肉・大根・えのき茸・出し汁・醤油・砂糖・人参・小松菜</t>
  </si>
  <si>
    <t>うどん・鶏肉・大根・出し汁・醤油・砂糖・人参・小松菜</t>
  </si>
  <si>
    <t>うどん・大根・人参・小松菜</t>
  </si>
  <si>
    <t>みそ汁・フルーツ（柿）</t>
    <phoneticPr fontId="3"/>
  </si>
  <si>
    <t>うどん・豚肉・大根・人参・小松菜・えのき茸・出し汁・醤油・砂糖・バナナ</t>
  </si>
  <si>
    <t>うどん・鶏肉・大根・人参・小松菜・出し汁・醤油・砂糖・バナナ</t>
  </si>
  <si>
    <t>うどん・大根・人参・小松菜・バナナ</t>
  </si>
  <si>
    <t>おかゆ・鶏肉・玉ねぎ・玉子・出し汁・砂糖・醤油・白菜・人参・かぶ・水・オレンジ</t>
  </si>
  <si>
    <t>おかゆ・玉ねぎ・かぶ・白菜・人参・オレンジ</t>
  </si>
  <si>
    <t>スープ・フルーツ（オレンジ）</t>
    <phoneticPr fontId="3"/>
  </si>
  <si>
    <t>おかゆ・豚肉・豆腐・トマト・玉ねぎ・しめじ・水・精製塩・キャベツ・大根・玉子・出し汁・醤油・柿</t>
  </si>
  <si>
    <t>おかゆ・鶏肉・豆腐・トマト・玉ねぎ・水・精製塩・キャベツ・大根・玉子・出し汁・醤油・柿</t>
  </si>
  <si>
    <t>おかゆ・豆腐・トマト・玉ねぎ・キャベツ・大根</t>
  </si>
  <si>
    <t>おかゆ・豚肉・豆腐・トマト・玉ねぎ・人参・水・精製塩・キャベツ・きゅうり・大根・玉子・出し汁・醤油・柿</t>
  </si>
  <si>
    <t>おかゆ・鶏肉・豆腐・トマト・玉ねぎ・人参・水・精製塩・キャベツ・きゅうり・大根・玉子・出し汁・醤油・柿</t>
  </si>
  <si>
    <t>おかゆ・豆腐・トマト・玉ねぎ・人参・キャベツ・大根</t>
  </si>
  <si>
    <t>すまし汁・フルーツ（柿）</t>
    <phoneticPr fontId="3"/>
  </si>
  <si>
    <t>キッズ</t>
    <phoneticPr fontId="3"/>
  </si>
  <si>
    <t>昼食</t>
    <rPh sb="0" eb="2">
      <t>チュウショク</t>
    </rPh>
    <phoneticPr fontId="3"/>
  </si>
  <si>
    <t>３色食品群</t>
    <rPh sb="1" eb="2">
      <t>ショク</t>
    </rPh>
    <rPh sb="2" eb="5">
      <t>ショクヒングン</t>
    </rPh>
    <phoneticPr fontId="3"/>
  </si>
  <si>
    <t>3～5歳児</t>
    <rPh sb="3" eb="4">
      <t>サイ</t>
    </rPh>
    <rPh sb="4" eb="5">
      <t>ジ</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</si>
  <si>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</si>
  <si>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</si>
  <si>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</si>
  <si>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</si>
  <si>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</si>
  <si>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</si>
  <si>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</si>
  <si>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ごま油・ご飯・マヨネーズ・砂糖・片栗粉・鈴カステラ・クラッカー</t>
    <rPh sb="20" eb="21">
      <t>スズ</t>
    </rPh>
    <phoneticPr fontId="3"/>
  </si>
  <si>
    <t>ツナフレーク缶・豆腐・豚肉・牛乳</t>
    <rPh sb="14" eb="16">
      <t>ギュウニュウ</t>
    </rPh>
    <phoneticPr fontId="3"/>
  </si>
  <si>
    <t>インゲン・オレンジ・ごぼう・ひじき・玉ねぎ・小松菜・人参・白菜</t>
  </si>
  <si>
    <t>kcal</t>
  </si>
  <si>
    <t>ごま油・ご飯・マヨネーズ・砂糖・片栗粉</t>
  </si>
  <si>
    <t>ツナフレーク缶・豆腐・豚肉・鰹節・胡麻・牛乳</t>
    <rPh sb="14" eb="16">
      <t>カツオブシ</t>
    </rPh>
    <rPh sb="17" eb="19">
      <t>ゴマ</t>
    </rPh>
    <rPh sb="20" eb="22">
      <t>ギュウニュウ</t>
    </rPh>
    <phoneticPr fontId="3"/>
  </si>
  <si>
    <t>kcal</t>
    <phoneticPr fontId="3"/>
  </si>
  <si>
    <t>豆腐の野菜あんかけ</t>
    <phoneticPr fontId="3"/>
  </si>
  <si>
    <t>ｇ</t>
    <phoneticPr fontId="3"/>
  </si>
  <si>
    <t>鈴カステラ</t>
    <rPh sb="0" eb="1">
      <t>スズ</t>
    </rPh>
    <phoneticPr fontId="3"/>
  </si>
  <si>
    <t>おかかのおにぎり</t>
    <phoneticPr fontId="3"/>
  </si>
  <si>
    <t>白菜とひじきのツナマヨサラダ</t>
  </si>
  <si>
    <t>クラッカー</t>
    <phoneticPr fontId="3"/>
  </si>
  <si>
    <t>g</t>
    <phoneticPr fontId="3"/>
  </si>
  <si>
    <t>ご飯・じゃが芋・砂糖・油・ホットケーキミックス</t>
    <phoneticPr fontId="3"/>
  </si>
  <si>
    <t>牛乳・豚肉</t>
    <phoneticPr fontId="3"/>
  </si>
  <si>
    <t>きゅうり・コーン・柿・玉ねぎ・人参・南瓜</t>
    <rPh sb="18" eb="20">
      <t>カボチャ</t>
    </rPh>
    <phoneticPr fontId="3"/>
  </si>
  <si>
    <t>南瓜入り蒸しパン</t>
    <rPh sb="0" eb="2">
      <t>カボチャ</t>
    </rPh>
    <rPh sb="2" eb="3">
      <t>イ</t>
    </rPh>
    <rPh sb="4" eb="5">
      <t>ム</t>
    </rPh>
    <phoneticPr fontId="3"/>
  </si>
  <si>
    <t>ご飯・バター・パン粉・砂糖・小麦粉・油</t>
  </si>
  <si>
    <t>牛乳・鮭・豆腐・ツナ缶</t>
    <rPh sb="10" eb="11">
      <t>カン</t>
    </rPh>
    <phoneticPr fontId="3"/>
  </si>
  <si>
    <t>かぼちゃ・ほうれん草・りんご・玉ねぎ・人参・コーン・グリンピース</t>
    <phoneticPr fontId="3"/>
  </si>
  <si>
    <t>乳・小麦_x000D_
※18</t>
    <phoneticPr fontId="3"/>
  </si>
  <si>
    <t>鮭とほうれん草のグラタン風</t>
  </si>
  <si>
    <t>ツナチャーハン</t>
    <phoneticPr fontId="3"/>
  </si>
  <si>
    <t>ツナ入りチャーハン</t>
    <rPh sb="2" eb="3">
      <t>イ</t>
    </rPh>
    <phoneticPr fontId="3"/>
  </si>
  <si>
    <t>スパゲッティ・バター・マヨネーズ・砂糖・小麦粉・油・パイ・せんべい</t>
    <phoneticPr fontId="3"/>
  </si>
  <si>
    <t>ツナフレーク缶・玉子・豚肉・牛乳</t>
    <rPh sb="14" eb="16">
      <t>ギュウニュウ</t>
    </rPh>
    <phoneticPr fontId="3"/>
  </si>
  <si>
    <t>グリンピース・コーン・ブロッコリー・玉ねぎ・人参・大根・白菜</t>
  </si>
  <si>
    <t>乳・卵・小麦</t>
  </si>
  <si>
    <t>パイ</t>
    <phoneticPr fontId="3"/>
  </si>
  <si>
    <t>せんべい</t>
    <phoneticPr fontId="3"/>
  </si>
  <si>
    <t>スパゲッティ・バター・マヨネーズ・砂糖・小麦粉・油・さつま芋・焼き菓子</t>
    <rPh sb="29" eb="30">
      <t>イモ</t>
    </rPh>
    <rPh sb="31" eb="32">
      <t>ヤ</t>
    </rPh>
    <rPh sb="33" eb="35">
      <t>ガシ</t>
    </rPh>
    <phoneticPr fontId="3"/>
  </si>
  <si>
    <t>ふかし芋</t>
    <rPh sb="3" eb="4">
      <t>イモ</t>
    </rPh>
    <phoneticPr fontId="3"/>
  </si>
  <si>
    <t>焼き菓子</t>
    <rPh sb="0" eb="1">
      <t>ヤ</t>
    </rPh>
    <rPh sb="2" eb="4">
      <t>ガシ</t>
    </rPh>
    <phoneticPr fontId="3"/>
  </si>
  <si>
    <t>ごま油・ご飯・じゃが芋・花ふ・砂糖・片栗粉・油・さつま芋・焼き菓子</t>
    <rPh sb="27" eb="28">
      <t>イモ</t>
    </rPh>
    <rPh sb="29" eb="30">
      <t>ヤ</t>
    </rPh>
    <rPh sb="31" eb="33">
      <t>ガシ</t>
    </rPh>
    <phoneticPr fontId="3"/>
  </si>
  <si>
    <t>カラスカレイ・牛乳</t>
    <rPh sb="7" eb="9">
      <t>ギュウニュウ</t>
    </rPh>
    <phoneticPr fontId="3"/>
  </si>
  <si>
    <t>あおさ粉・ごぼう・バナナ・もやし・人参・生姜</t>
  </si>
  <si>
    <t>ごま油・ご飯・じゃが芋・花ふ・砂糖・片栗粉・油・ビスケット・せんべい</t>
    <phoneticPr fontId="3"/>
  </si>
  <si>
    <t>あおさ粉・オレンジ・カリフラワー・ごぼう・人参・生姜</t>
  </si>
  <si>
    <t>ビスケット</t>
    <phoneticPr fontId="3"/>
  </si>
  <si>
    <t>&lt;7日　立冬&gt;</t>
    <rPh sb="2" eb="3">
      <t>ヒ</t>
    </rPh>
    <rPh sb="4" eb="6">
      <t>リットウ</t>
    </rPh>
    <phoneticPr fontId="3"/>
  </si>
  <si>
    <t>ご飯・じゃが芋・バター・砂糖・油・マカロニ</t>
    <phoneticPr fontId="3"/>
  </si>
  <si>
    <t>牛乳・鶏肉・大豆・きなこ</t>
    <phoneticPr fontId="3"/>
  </si>
  <si>
    <t>きゅうり・コーン・トマト・パセリ・りんご・玉ねぎ・人参</t>
  </si>
  <si>
    <t>鶏肉と大豆のクリームシチュー</t>
  </si>
  <si>
    <t>マカロニきなこ</t>
    <phoneticPr fontId="3"/>
  </si>
  <si>
    <t>ごま・ご飯・砂糖・焼ふ・片栗粉・油・ホットケーキミックス</t>
    <phoneticPr fontId="3"/>
  </si>
  <si>
    <t>スケソウタラ・牛乳</t>
    <rPh sb="7" eb="9">
      <t>ギュウニュウ</t>
    </rPh>
    <phoneticPr fontId="3"/>
  </si>
  <si>
    <t>キヌサヤ・キャベツ・パイナップル缶・れんこん・ワカメ・赤ピーマン</t>
  </si>
  <si>
    <t>助宗タラとれんこんの甘辛焼き</t>
  </si>
  <si>
    <t>サーターアンダギー</t>
    <phoneticPr fontId="3"/>
  </si>
  <si>
    <t>キャベツとレッドピーマンのサラダ</t>
  </si>
  <si>
    <t>キヌサヤ・キャベツ・れんこん・ワカメ・柿・人参</t>
  </si>
  <si>
    <t>うどん・ごま油・小麦粉・片栗粉・油・食パン・イチゴジャム</t>
    <rPh sb="18" eb="19">
      <t>ショク</t>
    </rPh>
    <phoneticPr fontId="3"/>
  </si>
  <si>
    <t>高野豆腐・豚肉・牛乳</t>
    <rPh sb="8" eb="10">
      <t>ギュウニュウ</t>
    </rPh>
    <phoneticPr fontId="3"/>
  </si>
  <si>
    <t>えのき茸・黄桃缶・小松菜・人参・大根・万能ねぎ</t>
  </si>
  <si>
    <t>小麦_x000D_
※14</t>
    <phoneticPr fontId="3"/>
  </si>
  <si>
    <t>揚げ高野豆腐のきのこあんかけ</t>
  </si>
  <si>
    <t>ジャムサンド</t>
    <phoneticPr fontId="3"/>
  </si>
  <si>
    <t>うどん・ごま油・砂糖・片栗粉・油・食パン・イチゴジャム</t>
    <rPh sb="17" eb="18">
      <t>ショク</t>
    </rPh>
    <phoneticPr fontId="3"/>
  </si>
  <si>
    <t>厚揚げ・豚肉・牛乳</t>
    <rPh sb="7" eb="9">
      <t>ギュウニュウ</t>
    </rPh>
    <phoneticPr fontId="3"/>
  </si>
  <si>
    <t>えのき茸・バナナ・小松菜・人参・大根・万能ねぎ</t>
  </si>
  <si>
    <t>ケチャップライスのふわふわ玉子のせ</t>
  </si>
  <si>
    <t>ごま・ご飯・バター・砂糖・油・ホットケーキミックス</t>
    <phoneticPr fontId="3"/>
  </si>
  <si>
    <t>玉子・鶏肉・牛乳</t>
    <rPh sb="6" eb="8">
      <t>ギュウニュウ</t>
    </rPh>
    <phoneticPr fontId="3"/>
  </si>
  <si>
    <t>オレンジ・かぶ・グリンピース・玉ねぎ・人参・水菜・白菜・レーズン</t>
    <phoneticPr fontId="3"/>
  </si>
  <si>
    <t>レーズン入りカップケーキ</t>
    <rPh sb="4" eb="5">
      <t>イ</t>
    </rPh>
    <phoneticPr fontId="3"/>
  </si>
  <si>
    <t>ごま・ご飯・バター・砂糖・油・バームクーヘン・せんべい</t>
    <phoneticPr fontId="3"/>
  </si>
  <si>
    <t>オレンジ・かぶ・グリンピース・玉ねぎ・人参・水菜・白菜</t>
  </si>
  <si>
    <t>バームクーヘン</t>
    <phoneticPr fontId="3"/>
  </si>
  <si>
    <t>27
金</t>
    <rPh sb="3" eb="4">
      <t>キン</t>
    </rPh>
    <phoneticPr fontId="3"/>
  </si>
  <si>
    <t>イベント献立</t>
    <rPh sb="4" eb="6">
      <t>コンダテ</t>
    </rPh>
    <phoneticPr fontId="3"/>
  </si>
  <si>
    <t>ご飯・パン粉・砂糖・油・ウエハース・クラッカー</t>
    <phoneticPr fontId="3"/>
  </si>
  <si>
    <t>ミートボール・玉子・豆腐・豚肉・油揚げ・牛乳</t>
    <rPh sb="20" eb="22">
      <t>ギュウニュウ</t>
    </rPh>
    <phoneticPr fontId="3"/>
  </si>
  <si>
    <t>キャベツ・しめじ・トマト・のり・柿・玉ねぎ・枝豆・大根</t>
  </si>
  <si>
    <t>卵・小麦_x000D_
※18</t>
    <phoneticPr fontId="3"/>
  </si>
  <si>
    <t>ｇ</t>
    <phoneticPr fontId="3"/>
  </si>
  <si>
    <t>ウエハース</t>
    <phoneticPr fontId="3"/>
  </si>
  <si>
    <t>クラッカー</t>
    <phoneticPr fontId="3"/>
  </si>
  <si>
    <t>13
金</t>
    <rPh sb="3" eb="4">
      <t>キン</t>
    </rPh>
    <phoneticPr fontId="3"/>
  </si>
  <si>
    <t>ご飯・バター・パン粉・砂糖・油・ホットケーキミックス</t>
    <phoneticPr fontId="3"/>
  </si>
  <si>
    <t>ツナフレーク缶・玉子・豆腐・豚肉</t>
  </si>
  <si>
    <t>キャベツ・きゅうり・コーン・トマト・柿・玉ねぎ・枝豆・人参・大根・フルーツ缶</t>
    <rPh sb="37" eb="38">
      <t>カン</t>
    </rPh>
    <phoneticPr fontId="3"/>
  </si>
  <si>
    <t>kcal</t>
    <phoneticPr fontId="3"/>
  </si>
  <si>
    <t>フルーツ入りカップケーキ</t>
    <rPh sb="4" eb="5">
      <t>イ</t>
    </rPh>
    <phoneticPr fontId="3"/>
  </si>
  <si>
    <t>ツナフレーク缶・豆腐・豚肉</t>
  </si>
  <si>
    <t>カラメル風おふラスク</t>
  </si>
  <si>
    <t>鉄分強化チーズ</t>
  </si>
  <si>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</si>
  <si>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</si>
  <si>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</si>
  <si>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</si>
  <si>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</si>
  <si>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</si>
  <si>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</si>
  <si>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</si>
  <si>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</si>
  <si>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</si>
  <si>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</si>
  <si>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3～5</t>
    <phoneticPr fontId="3"/>
  </si>
  <si>
    <t>歳</t>
    <rPh sb="0" eb="1">
      <t>サイ</t>
    </rPh>
    <phoneticPr fontId="3"/>
  </si>
  <si>
    <t>390/16.1/10.8/57.0/1.1未満</t>
    <rPh sb="22" eb="24">
      <t>ミマン</t>
    </rPh>
    <phoneticPr fontId="3"/>
  </si>
  <si>
    <t>※都合により、献立を変更する場合がございます。</t>
    <rPh sb="1" eb="3">
      <t>ツゴウ</t>
    </rPh>
    <rPh sb="7" eb="9">
      <t>コンダテ</t>
    </rPh>
    <rPh sb="10" eb="12">
      <t>ヘンコウ</t>
    </rPh>
    <rPh sb="14" eb="16">
      <t>バアイ</t>
    </rPh>
    <phoneticPr fontId="3"/>
  </si>
  <si>
    <t>1～2</t>
    <phoneticPr fontId="3"/>
  </si>
  <si>
    <t>285/11.8/7.9/41.7/0.8未満</t>
    <rPh sb="21" eb="23">
      <t>ミマン</t>
    </rPh>
    <phoneticPr fontId="3"/>
  </si>
  <si>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</si>
  <si>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</si>
  <si>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※60　本工場では小麦・乳を使用しております。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</si>
</sst>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 ?/2"/>
    <numFmt numFmtId="177" formatCode="#\ ?/4"/>
    <numFmt numFmtId="178" formatCode="#\ ?/8"/>
    <numFmt numFmtId="179" formatCode="#\ ?/3"/>
    <numFmt numFmtId="180" formatCode="#\ ?/10"/>
    <numFmt numFmtId="181" formatCode="#\ ?/6"/>
    <numFmt numFmtId="182" formatCode="#\ ?/16"/>
    <numFmt numFmtId="183" formatCode="#\ ?/12"/>
    <numFmt numFmtId="184" formatCode="#\ ?/20"/>
    <numFmt numFmtId="185" formatCode="0.0_ "/>
    <numFmt numFmtId="186" formatCode="0_ "/>
  </numFmts>
  <fonts count="3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sz val="8"/>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0"/>
      <name val="ＭＳ Ｐゴシック"/>
      <family val="3"/>
      <charset val="128"/>
    </font>
    <font>
      <b/>
      <sz val="11"/>
      <color theme="1"/>
      <name val="ＭＳ Ｐゴシック"/>
      <family val="3"/>
      <charset val="128"/>
      <scheme val="minor"/>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8"/>
      <color theme="1"/>
      <name val="ＭＳ Ｐゴシック"/>
      <family val="3"/>
      <charset val="128"/>
      <scheme val="minor"/>
    </font>
    <font>
      <sz val="9"/>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10"/>
      <color rgb="FFFF0000"/>
      <name val="ＭＳ Ｐ明朝"/>
      <family val="1"/>
      <charset val="128"/>
    </font>
    <font>
      <sz val="11"/>
      <color rgb="FFFF0000"/>
      <name val="ＭＳ Ｐ明朝"/>
      <family val="1"/>
      <charset val="128"/>
    </font>
  </fonts>
  <fills count="14">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DAA3"/>
        <bgColor indexed="64"/>
      </patternFill>
    </fill>
    <fill>
      <patternFill patternType="solid">
        <fgColor rgb="FFCCFFFF"/>
        <bgColor indexed="64"/>
      </patternFill>
    </fill>
    <fill>
      <patternFill patternType="solid">
        <fgColor rgb="FFC8FFB7"/>
        <bgColor indexed="64"/>
      </patternFill>
    </fill>
    <fill>
      <patternFill patternType="solid">
        <fgColor rgb="FFFFFFCC"/>
        <bgColor indexed="64"/>
      </patternFill>
    </fill>
    <fill>
      <patternFill patternType="solid">
        <fgColor rgb="FFFFFF00"/>
        <bgColor indexed="64"/>
      </patternFill>
    </fill>
  </fills>
  <borders count="7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23"/>
      </bottom>
      <diagonal/>
    </border>
    <border>
      <left style="thin">
        <color indexed="64"/>
      </left>
      <right style="thin">
        <color indexed="64"/>
      </right>
      <top/>
      <bottom style="thin">
        <color indexed="55"/>
      </bottom>
      <diagonal/>
    </border>
    <border>
      <left style="thin">
        <color indexed="64"/>
      </left>
      <right style="medium">
        <color indexed="64"/>
      </right>
      <top style="thin">
        <color indexed="64"/>
      </top>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diagonal/>
    </border>
    <border>
      <left style="thin">
        <color indexed="64"/>
      </left>
      <right style="thin">
        <color indexed="64"/>
      </right>
      <top style="thin">
        <color indexed="55"/>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23"/>
      </top>
      <bottom style="medium">
        <color indexed="64"/>
      </bottom>
      <diagonal/>
    </border>
    <border>
      <left style="thin">
        <color indexed="64"/>
      </left>
      <right style="thin">
        <color indexed="64"/>
      </right>
      <top style="thin">
        <color indexed="55"/>
      </top>
      <bottom style="medium">
        <color indexed="64"/>
      </bottom>
      <diagonal/>
    </border>
  </borders>
  <cellStyleXfs count="5">
    <xf numFmtId="0" fontId="0" fillId="0" borderId="0">
      <alignment vertical="center"/>
    </xf>
    <xf numFmtId="0" fontId="1" fillId="0" borderId="0">
      <alignment vertical="center"/>
    </xf>
    <xf numFmtId="0" fontId="1" fillId="0" borderId="0"/>
    <xf numFmtId="0" fontId="21" fillId="0" borderId="0">
      <alignment vertical="center"/>
    </xf>
    <xf numFmtId="0" fontId="1" fillId="0" borderId="0">
      <alignment vertical="center"/>
    </xf>
  </cellStyleXfs>
  <cellXfs count="403">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1" xfId="1" applyFont="1" applyBorder="1" applyAlignment="1">
      <alignment horizontal="center" vertical="center"/>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7" fillId="0" borderId="2" xfId="1" applyFont="1" applyBorder="1" applyAlignment="1">
      <alignment horizontal="center" vertical="center"/>
    </xf>
    <xf numFmtId="0" fontId="7" fillId="0" borderId="2" xfId="1" applyNumberFormat="1" applyFont="1" applyBorder="1" applyAlignment="1">
      <alignment horizontal="center" vertical="center"/>
    </xf>
    <xf numFmtId="0" fontId="7" fillId="0" borderId="1" xfId="1" applyFont="1" applyBorder="1" applyAlignment="1">
      <alignment horizontal="center" vertical="center" shrinkToFit="1"/>
    </xf>
    <xf numFmtId="0" fontId="8" fillId="0" borderId="0" xfId="2" applyNumberFormat="1" applyFont="1" applyFill="1" applyAlignment="1">
      <alignment shrinkToFit="1"/>
    </xf>
    <xf numFmtId="0" fontId="9" fillId="0" borderId="0" xfId="1" applyNumberFormat="1" applyFont="1" applyBorder="1" applyAlignment="1">
      <alignment wrapText="1" shrinkToFit="1"/>
    </xf>
    <xf numFmtId="0" fontId="10" fillId="0" borderId="0" xfId="1" applyFont="1" applyBorder="1" applyAlignment="1">
      <alignment horizontal="center" vertical="center" shrinkToFit="1"/>
    </xf>
    <xf numFmtId="0" fontId="1" fillId="0" borderId="0" xfId="1" applyAlignment="1">
      <alignment horizontal="center" shrinkToFit="1"/>
    </xf>
    <xf numFmtId="0" fontId="9" fillId="0" borderId="0" xfId="1" applyNumberFormat="1" applyFont="1" applyBorder="1" applyAlignment="1">
      <alignment horizontal="center" shrinkToFit="1"/>
    </xf>
    <xf numFmtId="0" fontId="7" fillId="0" borderId="0" xfId="1" applyFont="1" applyBorder="1" applyAlignment="1">
      <alignment horizontal="center" vertical="center"/>
    </xf>
    <xf numFmtId="0" fontId="7" fillId="0" borderId="0" xfId="1" applyNumberFormat="1" applyFont="1" applyBorder="1" applyAlignment="1">
      <alignment horizontal="center" vertical="center"/>
    </xf>
    <xf numFmtId="0" fontId="12" fillId="0" borderId="0" xfId="1" applyNumberFormat="1" applyFont="1" applyBorder="1" applyAlignment="1">
      <alignment shrinkToFit="1"/>
    </xf>
    <xf numFmtId="0" fontId="13" fillId="0" borderId="3" xfId="1" applyFont="1" applyBorder="1" applyAlignment="1">
      <alignment horizontal="left" vertical="center"/>
    </xf>
    <xf numFmtId="0" fontId="13" fillId="0" borderId="4" xfId="1" applyFont="1" applyBorder="1" applyAlignment="1">
      <alignment horizontal="center" vertical="center" shrinkToFit="1"/>
    </xf>
    <xf numFmtId="0" fontId="13" fillId="0" borderId="5" xfId="1" applyFont="1" applyBorder="1" applyAlignment="1">
      <alignment horizontal="center" vertical="center" shrinkToFit="1"/>
    </xf>
    <xf numFmtId="0" fontId="14" fillId="0" borderId="6" xfId="1" applyNumberFormat="1" applyFont="1" applyBorder="1" applyAlignment="1">
      <alignment horizontal="center" vertical="center" wrapText="1"/>
    </xf>
    <xf numFmtId="0" fontId="13" fillId="0" borderId="6" xfId="1" applyFont="1" applyBorder="1" applyAlignment="1">
      <alignment horizontal="center" vertical="center" shrinkToFit="1"/>
    </xf>
    <xf numFmtId="0" fontId="13" fillId="0" borderId="6" xfId="1" applyNumberFormat="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xf>
    <xf numFmtId="0" fontId="15" fillId="0" borderId="6" xfId="1" applyNumberFormat="1" applyFont="1" applyBorder="1" applyAlignment="1">
      <alignment horizontal="center" vertical="center" wrapText="1" shrinkToFit="1"/>
    </xf>
    <xf numFmtId="0" fontId="13" fillId="0" borderId="5" xfId="1" applyNumberFormat="1" applyFont="1" applyBorder="1" applyAlignment="1">
      <alignment horizontal="center" vertical="center" shrinkToFit="1"/>
    </xf>
    <xf numFmtId="0" fontId="13" fillId="0" borderId="7"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8" fillId="0" borderId="0" xfId="1" applyFont="1" applyAlignment="1">
      <alignment vertical="center" shrinkToFit="1"/>
    </xf>
    <xf numFmtId="0" fontId="17" fillId="0" borderId="0" xfId="1" applyFont="1" applyAlignment="1">
      <alignment vertical="top" shrinkToFit="1"/>
    </xf>
    <xf numFmtId="0" fontId="16" fillId="0" borderId="0" xfId="1" applyFont="1" applyAlignment="1">
      <alignment horizontal="left" vertical="center"/>
    </xf>
    <xf numFmtId="0" fontId="6" fillId="0" borderId="0" xfId="1" applyNumberFormat="1" applyFont="1" applyAlignment="1">
      <alignment horizontal="center" vertical="top" shrinkToFit="1"/>
    </xf>
    <xf numFmtId="0" fontId="16" fillId="0" borderId="0" xfId="1" applyFont="1" applyAlignment="1">
      <alignment horizontal="center" vertical="top" shrinkToFit="1"/>
    </xf>
    <xf numFmtId="0" fontId="16" fillId="0" borderId="0" xfId="1" applyFont="1" applyAlignment="1">
      <alignment vertical="top" shrinkToFit="1"/>
    </xf>
    <xf numFmtId="0" fontId="18" fillId="0" borderId="0" xfId="1" applyFont="1" applyAlignment="1">
      <alignment horizontal="center" vertical="top" shrinkToFit="1"/>
    </xf>
    <xf numFmtId="0" fontId="18" fillId="0" borderId="0" xfId="1" applyNumberFormat="1" applyFont="1" applyAlignment="1">
      <alignment horizontal="center" vertical="top" shrinkToFit="1"/>
    </xf>
    <xf numFmtId="0" fontId="13" fillId="0" borderId="6" xfId="1" applyNumberFormat="1" applyFont="1" applyFill="1" applyBorder="1" applyAlignment="1">
      <alignment horizontal="center" vertical="center" shrinkToFit="1"/>
    </xf>
    <xf numFmtId="0" fontId="13" fillId="0" borderId="6"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2" xfId="1" applyFont="1" applyFill="1" applyBorder="1" applyAlignment="1">
      <alignment horizontal="center" vertical="center"/>
    </xf>
    <xf numFmtId="0" fontId="7" fillId="0" borderId="2" xfId="1" applyNumberFormat="1" applyFont="1" applyFill="1" applyBorder="1" applyAlignment="1">
      <alignment horizontal="center" vertical="center"/>
    </xf>
    <xf numFmtId="0" fontId="17" fillId="0" borderId="9" xfId="1" applyFont="1" applyBorder="1" applyAlignment="1">
      <alignment vertical="top" shrinkToFit="1"/>
    </xf>
    <xf numFmtId="0" fontId="8" fillId="0" borderId="9" xfId="1" applyFont="1" applyBorder="1" applyAlignment="1">
      <alignment vertical="center" shrinkToFit="1"/>
    </xf>
    <xf numFmtId="176" fontId="6" fillId="0" borderId="9" xfId="1" applyNumberFormat="1" applyFont="1" applyBorder="1" applyAlignment="1">
      <alignment horizontal="center" vertical="top" shrinkToFit="1"/>
    </xf>
    <xf numFmtId="0" fontId="16" fillId="0" borderId="9" xfId="1" applyFont="1" applyBorder="1" applyAlignment="1">
      <alignment horizontal="center" vertical="top" shrinkToFit="1"/>
    </xf>
    <xf numFmtId="0" fontId="16" fillId="0" borderId="9" xfId="1" applyFont="1" applyBorder="1" applyAlignment="1">
      <alignment vertical="top" shrinkToFit="1"/>
    </xf>
    <xf numFmtId="0" fontId="18" fillId="0" borderId="9" xfId="1" applyNumberFormat="1" applyFont="1" applyBorder="1" applyAlignment="1">
      <alignment horizontal="center" vertical="top" shrinkToFit="1"/>
    </xf>
    <xf numFmtId="0" fontId="6" fillId="0" borderId="9" xfId="1" applyNumberFormat="1" applyFont="1" applyBorder="1" applyAlignment="1">
      <alignment horizontal="center" vertical="top" shrinkToFit="1"/>
    </xf>
    <xf numFmtId="0" fontId="17" fillId="0" borderId="10" xfId="1" applyFont="1" applyBorder="1" applyAlignment="1">
      <alignment vertical="top" shrinkToFit="1"/>
    </xf>
    <xf numFmtId="0" fontId="8" fillId="0" borderId="10" xfId="1" applyFont="1" applyBorder="1" applyAlignment="1">
      <alignment vertical="center" shrinkToFit="1"/>
    </xf>
    <xf numFmtId="0" fontId="6" fillId="0" borderId="10" xfId="1" applyNumberFormat="1" applyFont="1" applyBorder="1" applyAlignment="1">
      <alignment horizontal="center" vertical="top" shrinkToFit="1"/>
    </xf>
    <xf numFmtId="0" fontId="16" fillId="0" borderId="10" xfId="1" applyFont="1" applyBorder="1" applyAlignment="1">
      <alignment horizontal="center" vertical="top" shrinkToFit="1"/>
    </xf>
    <xf numFmtId="0" fontId="16" fillId="0" borderId="10" xfId="1" applyFont="1" applyBorder="1" applyAlignment="1">
      <alignment vertical="top" shrinkToFit="1"/>
    </xf>
    <xf numFmtId="0" fontId="18" fillId="0" borderId="10" xfId="1" applyNumberFormat="1" applyFont="1" applyBorder="1" applyAlignment="1">
      <alignment horizontal="center" vertical="top" shrinkToFit="1"/>
    </xf>
    <xf numFmtId="0" fontId="17" fillId="0" borderId="11" xfId="1" applyFont="1" applyBorder="1" applyAlignment="1">
      <alignment vertical="top" shrinkToFit="1"/>
    </xf>
    <xf numFmtId="0" fontId="8" fillId="0" borderId="11" xfId="1" applyFont="1" applyBorder="1" applyAlignment="1">
      <alignment vertical="center" shrinkToFit="1"/>
    </xf>
    <xf numFmtId="0" fontId="6" fillId="0" borderId="11" xfId="1" applyNumberFormat="1" applyFont="1" applyBorder="1" applyAlignment="1">
      <alignment horizontal="center" vertical="top" shrinkToFit="1"/>
    </xf>
    <xf numFmtId="0" fontId="16" fillId="0" borderId="11" xfId="1" applyFont="1" applyBorder="1" applyAlignment="1">
      <alignment horizontal="center" vertical="top" shrinkToFit="1"/>
    </xf>
    <xf numFmtId="0" fontId="16" fillId="0" borderId="11" xfId="1" applyFont="1" applyBorder="1" applyAlignment="1">
      <alignment vertical="top" shrinkToFit="1"/>
    </xf>
    <xf numFmtId="0" fontId="18" fillId="0" borderId="11" xfId="1" applyNumberFormat="1" applyFont="1" applyBorder="1" applyAlignment="1">
      <alignment horizontal="center" vertical="top" shrinkToFit="1"/>
    </xf>
    <xf numFmtId="176" fontId="6" fillId="0" borderId="10" xfId="1" applyNumberFormat="1" applyFont="1" applyBorder="1" applyAlignment="1">
      <alignment horizontal="center" vertical="top" shrinkToFit="1"/>
    </xf>
    <xf numFmtId="0" fontId="17" fillId="0" borderId="12" xfId="1" applyFont="1" applyBorder="1" applyAlignment="1">
      <alignment vertical="top" shrinkToFit="1"/>
    </xf>
    <xf numFmtId="0" fontId="8" fillId="0" borderId="12" xfId="1" applyFont="1" applyBorder="1" applyAlignment="1">
      <alignment vertical="center" shrinkToFit="1"/>
    </xf>
    <xf numFmtId="0" fontId="6" fillId="0" borderId="12" xfId="1" applyNumberFormat="1" applyFont="1" applyBorder="1" applyAlignment="1">
      <alignment horizontal="center" vertical="top" shrinkToFit="1"/>
    </xf>
    <xf numFmtId="0" fontId="16" fillId="0" borderId="12" xfId="1" applyFont="1" applyBorder="1" applyAlignment="1">
      <alignment horizontal="center" vertical="top" shrinkToFit="1"/>
    </xf>
    <xf numFmtId="0" fontId="16" fillId="0" borderId="12" xfId="1" applyFont="1" applyBorder="1" applyAlignment="1">
      <alignment vertical="top" shrinkToFit="1"/>
    </xf>
    <xf numFmtId="0" fontId="18" fillId="0" borderId="12" xfId="1" applyNumberFormat="1" applyFont="1" applyBorder="1" applyAlignment="1">
      <alignment horizontal="center" vertical="top" shrinkToFit="1"/>
    </xf>
    <xf numFmtId="177" fontId="6" fillId="0" borderId="10" xfId="1" applyNumberFormat="1" applyFont="1" applyBorder="1" applyAlignment="1">
      <alignment horizontal="center" vertical="top" shrinkToFit="1"/>
    </xf>
    <xf numFmtId="178" fontId="6" fillId="0" borderId="10" xfId="1" applyNumberFormat="1" applyFont="1" applyBorder="1" applyAlignment="1">
      <alignment horizontal="center" vertical="top" shrinkToFit="1"/>
    </xf>
    <xf numFmtId="0" fontId="8" fillId="0" borderId="13" xfId="1" applyFont="1" applyBorder="1" applyAlignment="1">
      <alignment vertical="center" shrinkToFit="1"/>
    </xf>
    <xf numFmtId="0" fontId="8" fillId="0" borderId="14" xfId="1" applyFont="1" applyBorder="1" applyAlignment="1">
      <alignment vertical="center" shrinkToFit="1"/>
    </xf>
    <xf numFmtId="0" fontId="8" fillId="0" borderId="15" xfId="1" applyFont="1" applyBorder="1" applyAlignment="1">
      <alignment vertical="center" shrinkToFit="1"/>
    </xf>
    <xf numFmtId="0" fontId="8" fillId="0" borderId="16" xfId="1" applyFont="1" applyBorder="1" applyAlignment="1">
      <alignment vertical="center" shrinkToFit="1"/>
    </xf>
    <xf numFmtId="0" fontId="17" fillId="0" borderId="17" xfId="1" applyFont="1" applyBorder="1" applyAlignment="1">
      <alignment vertical="top" shrinkToFit="1"/>
    </xf>
    <xf numFmtId="0" fontId="17" fillId="0" borderId="1" xfId="1" applyFont="1" applyBorder="1" applyAlignment="1">
      <alignment vertical="top" shrinkToFit="1"/>
    </xf>
    <xf numFmtId="0" fontId="17" fillId="0" borderId="18" xfId="1" applyFont="1" applyBorder="1" applyAlignment="1">
      <alignment vertical="top" shrinkToFit="1"/>
    </xf>
    <xf numFmtId="0" fontId="17" fillId="0" borderId="19" xfId="1" applyFont="1" applyBorder="1" applyAlignment="1">
      <alignment vertical="top" shrinkToFit="1"/>
    </xf>
    <xf numFmtId="0" fontId="16" fillId="0" borderId="20" xfId="1" applyFont="1" applyBorder="1" applyAlignment="1">
      <alignment horizontal="center" vertical="top" shrinkToFit="1"/>
    </xf>
    <xf numFmtId="0" fontId="16" fillId="0" borderId="21" xfId="1" applyFont="1" applyBorder="1" applyAlignment="1">
      <alignment horizontal="center" vertical="top" shrinkToFit="1"/>
    </xf>
    <xf numFmtId="0" fontId="16" fillId="0" borderId="22" xfId="1" applyFont="1" applyBorder="1" applyAlignment="1">
      <alignment horizontal="center" vertical="top" shrinkToFit="1"/>
    </xf>
    <xf numFmtId="0" fontId="16" fillId="0" borderId="23" xfId="1" applyFont="1" applyBorder="1" applyAlignment="1">
      <alignment horizontal="center" vertical="top" shrinkToFit="1"/>
    </xf>
    <xf numFmtId="0" fontId="16" fillId="0" borderId="24" xfId="1" applyFont="1" applyBorder="1" applyAlignment="1">
      <alignment vertical="top" shrinkToFit="1"/>
    </xf>
    <xf numFmtId="0" fontId="16" fillId="0" borderId="25" xfId="1" applyFont="1" applyBorder="1" applyAlignment="1">
      <alignment vertical="top" shrinkToFit="1"/>
    </xf>
    <xf numFmtId="0" fontId="16" fillId="0" borderId="26" xfId="1" applyFont="1" applyBorder="1" applyAlignment="1">
      <alignment vertical="top" shrinkToFit="1"/>
    </xf>
    <xf numFmtId="0" fontId="16" fillId="0" borderId="27" xfId="1" applyFont="1" applyBorder="1" applyAlignment="1">
      <alignment vertical="top" shrinkToFit="1"/>
    </xf>
    <xf numFmtId="0" fontId="18" fillId="0" borderId="13" xfId="1" applyFont="1" applyBorder="1" applyAlignment="1">
      <alignment horizontal="center" vertical="top" shrinkToFit="1"/>
    </xf>
    <xf numFmtId="0" fontId="18" fillId="0" borderId="14" xfId="1" applyFont="1" applyBorder="1" applyAlignment="1">
      <alignment horizontal="center" vertical="top" shrinkToFit="1"/>
    </xf>
    <xf numFmtId="0" fontId="18" fillId="0" borderId="15" xfId="1" applyFont="1" applyBorder="1" applyAlignment="1">
      <alignment horizontal="center" vertical="top" shrinkToFit="1"/>
    </xf>
    <xf numFmtId="0" fontId="18" fillId="0" borderId="16" xfId="1" applyFont="1" applyBorder="1" applyAlignment="1">
      <alignment horizontal="center" vertical="top" shrinkToFit="1"/>
    </xf>
    <xf numFmtId="179" fontId="6" fillId="0" borderId="10" xfId="1" applyNumberFormat="1" applyFont="1" applyBorder="1" applyAlignment="1">
      <alignment horizontal="center" vertical="top" shrinkToFit="1"/>
    </xf>
    <xf numFmtId="180" fontId="6" fillId="0" borderId="10" xfId="1" applyNumberFormat="1" applyFont="1" applyBorder="1" applyAlignment="1">
      <alignment horizontal="center" vertical="top" shrinkToFit="1"/>
    </xf>
    <xf numFmtId="181" fontId="6" fillId="0" borderId="10" xfId="1" applyNumberFormat="1" applyFont="1" applyBorder="1" applyAlignment="1">
      <alignment horizontal="center" vertical="top" shrinkToFit="1"/>
    </xf>
    <xf numFmtId="182" fontId="6" fillId="0" borderId="10" xfId="1" applyNumberFormat="1" applyFont="1" applyBorder="1" applyAlignment="1">
      <alignment horizontal="center" vertical="top" shrinkToFit="1"/>
    </xf>
    <xf numFmtId="0" fontId="17" fillId="0" borderId="1" xfId="1" applyFont="1" applyBorder="1" applyAlignment="1">
      <alignment vertical="top" wrapText="1" shrinkToFit="1"/>
    </xf>
    <xf numFmtId="0" fontId="17" fillId="0" borderId="1" xfId="1" applyFont="1" applyBorder="1" applyAlignment="1">
      <alignment horizontal="right" vertical="top" shrinkToFit="1"/>
    </xf>
    <xf numFmtId="0" fontId="17" fillId="0" borderId="0" xfId="1" applyFont="1">
      <alignment vertical="center"/>
    </xf>
    <xf numFmtId="0" fontId="11" fillId="0" borderId="0" xfId="1" applyFont="1" applyBorder="1" applyAlignment="1">
      <alignment horizontal="left" shrinkToFit="1"/>
    </xf>
    <xf numFmtId="0" fontId="17" fillId="0" borderId="0" xfId="1" applyFont="1" applyAlignment="1">
      <alignment vertical="center"/>
    </xf>
    <xf numFmtId="0" fontId="17" fillId="0" borderId="0" xfId="1" applyFont="1" applyAlignment="1">
      <alignment vertical="center" shrinkToFit="1"/>
    </xf>
    <xf numFmtId="0" fontId="5" fillId="0" borderId="0" xfId="1" applyFont="1" applyBorder="1" applyAlignment="1">
      <alignment horizontal="center" vertical="center"/>
    </xf>
    <xf numFmtId="0" fontId="0" fillId="0" borderId="0" xfId="0" applyFill="1" applyBorder="1" applyAlignment="1">
      <alignment vertical="center" shrinkToFit="1"/>
    </xf>
    <xf numFmtId="0" fontId="0" fillId="0" borderId="0" xfId="0" applyBorder="1" applyAlignment="1">
      <alignment horizontal="center" vertical="center"/>
    </xf>
    <xf numFmtId="0" fontId="17" fillId="0" borderId="0" xfId="1" applyFont="1" applyBorder="1" applyAlignment="1">
      <alignment vertical="center" shrinkToFit="1"/>
    </xf>
    <xf numFmtId="0" fontId="5" fillId="0" borderId="0" xfId="1" applyFont="1" applyBorder="1" applyAlignment="1">
      <alignment vertical="center" textRotation="255"/>
    </xf>
    <xf numFmtId="0" fontId="17" fillId="0" borderId="0" xfId="1" applyFont="1" applyFill="1" applyBorder="1" applyAlignment="1">
      <alignment vertical="center"/>
    </xf>
    <xf numFmtId="0" fontId="17" fillId="0" borderId="0" xfId="1" applyFont="1" applyBorder="1" applyAlignment="1">
      <alignment vertical="center"/>
    </xf>
    <xf numFmtId="0" fontId="17" fillId="0" borderId="0" xfId="1" applyFont="1" applyBorder="1">
      <alignment vertical="center"/>
    </xf>
    <xf numFmtId="0" fontId="0" fillId="0" borderId="34" xfId="0" applyBorder="1" applyAlignment="1">
      <alignment horizontal="left" shrinkToFit="1"/>
    </xf>
    <xf numFmtId="0" fontId="21" fillId="0" borderId="0" xfId="3" applyBorder="1" applyAlignment="1">
      <alignment vertical="center"/>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7" fillId="0" borderId="31" xfId="1" applyFont="1" applyBorder="1" applyAlignment="1">
      <alignment horizontal="center" vertical="center"/>
    </xf>
    <xf numFmtId="0" fontId="7" fillId="0" borderId="51" xfId="1" applyFont="1" applyBorder="1">
      <alignment vertical="center"/>
    </xf>
    <xf numFmtId="0" fontId="7" fillId="0" borderId="23" xfId="1" applyFont="1" applyBorder="1" applyAlignment="1">
      <alignment horizontal="center" vertical="center"/>
    </xf>
    <xf numFmtId="0" fontId="7" fillId="0" borderId="12" xfId="1" applyFont="1" applyBorder="1" applyAlignment="1">
      <alignment horizontal="center" vertical="center"/>
    </xf>
    <xf numFmtId="0" fontId="7" fillId="0" borderId="52" xfId="1" applyFont="1" applyBorder="1" applyAlignment="1">
      <alignment horizontal="center" vertical="center"/>
    </xf>
    <xf numFmtId="0" fontId="7" fillId="0" borderId="53" xfId="1" applyFont="1" applyBorder="1" applyAlignment="1">
      <alignment horizontal="center" vertical="center"/>
    </xf>
    <xf numFmtId="0" fontId="7" fillId="0" borderId="35" xfId="1" applyFont="1" applyBorder="1" applyAlignment="1">
      <alignment horizontal="center" vertical="center"/>
    </xf>
    <xf numFmtId="0" fontId="7" fillId="0" borderId="54" xfId="1" applyFont="1" applyBorder="1" applyAlignment="1">
      <alignment horizontal="center" vertical="center"/>
    </xf>
    <xf numFmtId="0" fontId="17" fillId="0" borderId="9" xfId="1" applyFont="1" applyBorder="1" applyAlignment="1">
      <alignment vertical="center" shrinkToFit="1"/>
    </xf>
    <xf numFmtId="0" fontId="17" fillId="0" borderId="9" xfId="1" applyFont="1" applyBorder="1" applyAlignment="1">
      <alignment horizontal="right" vertical="center"/>
    </xf>
    <xf numFmtId="0" fontId="0" fillId="0" borderId="13" xfId="0" applyBorder="1">
      <alignment vertical="center"/>
    </xf>
    <xf numFmtId="0" fontId="17" fillId="0" borderId="11" xfId="1" applyFont="1" applyBorder="1" applyAlignment="1">
      <alignment vertical="center" shrinkToFit="1"/>
    </xf>
    <xf numFmtId="0" fontId="17" fillId="0" borderId="11" xfId="1" applyFont="1" applyBorder="1" applyAlignment="1">
      <alignment horizontal="right" vertical="center"/>
    </xf>
    <xf numFmtId="0" fontId="0" fillId="0" borderId="15" xfId="0" applyBorder="1">
      <alignment vertical="center"/>
    </xf>
    <xf numFmtId="0" fontId="17" fillId="0" borderId="10" xfId="1" applyFont="1" applyBorder="1" applyAlignment="1">
      <alignment vertical="center" shrinkToFit="1"/>
    </xf>
    <xf numFmtId="180" fontId="17" fillId="0" borderId="10" xfId="1" applyNumberFormat="1" applyFont="1" applyBorder="1" applyAlignment="1">
      <alignment horizontal="right" vertical="center"/>
    </xf>
    <xf numFmtId="0" fontId="0" fillId="0" borderId="14" xfId="0" applyBorder="1">
      <alignment vertical="center"/>
    </xf>
    <xf numFmtId="0" fontId="17" fillId="0" borderId="10" xfId="1" applyFont="1" applyBorder="1" applyAlignment="1">
      <alignment horizontal="right" vertical="center"/>
    </xf>
    <xf numFmtId="0" fontId="17" fillId="2" borderId="10" xfId="1" applyFont="1" applyFill="1" applyBorder="1" applyAlignment="1">
      <alignment vertical="center" shrinkToFit="1"/>
    </xf>
    <xf numFmtId="0" fontId="8" fillId="0" borderId="10" xfId="1" applyFont="1" applyBorder="1" applyAlignment="1">
      <alignment horizontal="right" vertical="center"/>
    </xf>
    <xf numFmtId="178" fontId="17" fillId="0" borderId="10" xfId="1" applyNumberFormat="1" applyFont="1" applyBorder="1" applyAlignment="1">
      <alignment horizontal="right" vertical="center"/>
    </xf>
    <xf numFmtId="0" fontId="17" fillId="0" borderId="12" xfId="1" applyFont="1" applyBorder="1" applyAlignment="1">
      <alignment vertical="center" shrinkToFit="1"/>
    </xf>
    <xf numFmtId="0" fontId="17" fillId="0" borderId="12" xfId="1" applyFont="1" applyBorder="1" applyAlignment="1">
      <alignment horizontal="right" vertical="center"/>
    </xf>
    <xf numFmtId="0" fontId="0" fillId="0" borderId="16" xfId="0" applyBorder="1">
      <alignment vertical="center"/>
    </xf>
    <xf numFmtId="0" fontId="17" fillId="0" borderId="0" xfId="1" applyFont="1" applyAlignment="1">
      <alignment horizontal="right" vertical="center"/>
    </xf>
    <xf numFmtId="179" fontId="17" fillId="0" borderId="10" xfId="1" applyNumberFormat="1" applyFont="1" applyBorder="1" applyAlignment="1">
      <alignment horizontal="right" vertical="center"/>
    </xf>
    <xf numFmtId="183" fontId="17" fillId="0" borderId="10" xfId="1" applyNumberFormat="1" applyFont="1" applyBorder="1" applyAlignment="1">
      <alignment horizontal="right" vertical="center"/>
    </xf>
    <xf numFmtId="0" fontId="8" fillId="0" borderId="11" xfId="1" applyFont="1" applyBorder="1" applyAlignment="1">
      <alignment horizontal="right" vertical="center"/>
    </xf>
    <xf numFmtId="181" fontId="17" fillId="0" borderId="10" xfId="1" applyNumberFormat="1" applyFont="1" applyBorder="1" applyAlignment="1">
      <alignment horizontal="right" vertical="center"/>
    </xf>
    <xf numFmtId="184" fontId="17" fillId="0" borderId="10" xfId="1" applyNumberFormat="1" applyFont="1" applyBorder="1" applyAlignment="1">
      <alignment horizontal="right" vertical="center"/>
    </xf>
    <xf numFmtId="0" fontId="25" fillId="0" borderId="0" xfId="1" applyFont="1" applyAlignment="1">
      <alignment horizontal="center" vertical="center" textRotation="255"/>
    </xf>
    <xf numFmtId="0" fontId="25" fillId="0" borderId="0" xfId="1" applyFont="1">
      <alignment vertical="center"/>
    </xf>
    <xf numFmtId="0" fontId="25" fillId="0" borderId="0" xfId="1" applyFont="1" applyAlignment="1">
      <alignment horizontal="center" vertical="center"/>
    </xf>
    <xf numFmtId="0" fontId="1" fillId="0" borderId="2" xfId="1" applyBorder="1" applyAlignment="1">
      <alignment horizontal="center" vertical="center"/>
    </xf>
    <xf numFmtId="0" fontId="1" fillId="4" borderId="2" xfId="1" applyFill="1" applyBorder="1" applyAlignment="1">
      <alignment horizontal="center" vertical="center"/>
    </xf>
    <xf numFmtId="0" fontId="1" fillId="0" borderId="57" xfId="1" applyBorder="1" applyAlignment="1">
      <alignment horizontal="center" vertical="center"/>
    </xf>
    <xf numFmtId="0" fontId="25" fillId="0" borderId="60" xfId="1" applyFont="1" applyFill="1" applyBorder="1" applyAlignment="1">
      <alignment horizontal="left" vertical="center" shrinkToFit="1"/>
    </xf>
    <xf numFmtId="0" fontId="25" fillId="0" borderId="0" xfId="1" applyFont="1" applyFill="1" applyAlignment="1">
      <alignment horizontal="center" vertical="center"/>
    </xf>
    <xf numFmtId="0" fontId="25" fillId="0" borderId="10" xfId="1" applyFont="1" applyFill="1" applyBorder="1" applyAlignment="1">
      <alignment horizontal="left" vertical="center" shrinkToFit="1"/>
    </xf>
    <xf numFmtId="0" fontId="25" fillId="0" borderId="0" xfId="1" applyFont="1" applyFill="1">
      <alignment vertical="center"/>
    </xf>
    <xf numFmtId="0" fontId="25" fillId="0" borderId="11" xfId="1" applyFont="1" applyFill="1" applyBorder="1" applyAlignment="1">
      <alignment horizontal="left" vertical="center" shrinkToFit="1"/>
    </xf>
    <xf numFmtId="0" fontId="25" fillId="0" borderId="12" xfId="1" applyFont="1" applyFill="1" applyBorder="1" applyAlignment="1">
      <alignment horizontal="left" vertical="center" shrinkToFit="1"/>
    </xf>
    <xf numFmtId="0" fontId="25" fillId="0" borderId="59" xfId="1" applyFont="1" applyFill="1" applyBorder="1" applyAlignment="1">
      <alignment horizontal="center" vertical="center"/>
    </xf>
    <xf numFmtId="0" fontId="25" fillId="0" borderId="64" xfId="1" applyFont="1" applyFill="1" applyBorder="1" applyAlignment="1">
      <alignment horizontal="center" vertical="center"/>
    </xf>
    <xf numFmtId="0" fontId="25" fillId="0" borderId="77" xfId="1" applyFont="1" applyFill="1" applyBorder="1" applyAlignment="1">
      <alignment horizontal="center" vertical="center"/>
    </xf>
    <xf numFmtId="0" fontId="27" fillId="0" borderId="60" xfId="1" applyFont="1" applyFill="1" applyBorder="1" applyAlignment="1">
      <alignment horizontal="left" vertical="top" wrapText="1" shrinkToFit="1"/>
    </xf>
    <xf numFmtId="0" fontId="29" fillId="0" borderId="10" xfId="0" applyFont="1" applyFill="1" applyBorder="1" applyAlignment="1">
      <alignment horizontal="left" vertical="top" wrapText="1" shrinkToFit="1"/>
    </xf>
    <xf numFmtId="0" fontId="29" fillId="0" borderId="12" xfId="0" applyFont="1" applyFill="1" applyBorder="1" applyAlignment="1">
      <alignment horizontal="left" vertical="top" wrapText="1" shrinkToFit="1"/>
    </xf>
    <xf numFmtId="0" fontId="27" fillId="0" borderId="63" xfId="1" applyFont="1" applyFill="1" applyBorder="1" applyAlignment="1">
      <alignment horizontal="left" vertical="top" wrapText="1" shrinkToFit="1"/>
    </xf>
    <xf numFmtId="0" fontId="29" fillId="0" borderId="14" xfId="0" applyFont="1" applyFill="1" applyBorder="1" applyAlignment="1">
      <alignment horizontal="left" vertical="top" wrapText="1" shrinkToFit="1"/>
    </xf>
    <xf numFmtId="0" fontId="29" fillId="0" borderId="16" xfId="0" applyFont="1" applyFill="1" applyBorder="1" applyAlignment="1">
      <alignment horizontal="left" vertical="top" wrapText="1" shrinkToFit="1"/>
    </xf>
    <xf numFmtId="0" fontId="25" fillId="5" borderId="69" xfId="1" applyFont="1" applyFill="1" applyBorder="1" applyAlignment="1">
      <alignment horizontal="center" vertical="center"/>
    </xf>
    <xf numFmtId="0" fontId="25" fillId="5" borderId="70" xfId="1" applyFont="1" applyFill="1" applyBorder="1" applyAlignment="1">
      <alignment horizontal="center" vertical="center"/>
    </xf>
    <xf numFmtId="0" fontId="25" fillId="5" borderId="71" xfId="1" applyFont="1" applyFill="1" applyBorder="1" applyAlignment="1">
      <alignment horizontal="center" vertical="center"/>
    </xf>
    <xf numFmtId="0" fontId="25" fillId="5" borderId="35" xfId="1" applyFont="1" applyFill="1" applyBorder="1" applyAlignment="1">
      <alignment horizontal="center" vertical="center"/>
    </xf>
    <xf numFmtId="0" fontId="25" fillId="5" borderId="34" xfId="1" applyFont="1" applyFill="1" applyBorder="1" applyAlignment="1">
      <alignment horizontal="center" vertical="center"/>
    </xf>
    <xf numFmtId="0" fontId="25" fillId="5" borderId="19" xfId="1" applyFont="1" applyFill="1" applyBorder="1" applyAlignment="1">
      <alignment horizontal="center" vertical="center"/>
    </xf>
    <xf numFmtId="0" fontId="25" fillId="0" borderId="66" xfId="1" applyFont="1" applyFill="1" applyBorder="1" applyAlignment="1">
      <alignment horizontal="center" vertical="center"/>
    </xf>
    <xf numFmtId="0" fontId="29" fillId="0" borderId="11" xfId="0" applyFont="1" applyFill="1" applyBorder="1" applyAlignment="1">
      <alignment horizontal="left" vertical="top" wrapText="1" shrinkToFit="1"/>
    </xf>
    <xf numFmtId="0" fontId="29" fillId="0" borderId="15" xfId="0" applyFont="1" applyFill="1" applyBorder="1" applyAlignment="1">
      <alignment horizontal="left" vertical="top" wrapText="1" shrinkToFit="1"/>
    </xf>
    <xf numFmtId="0" fontId="25" fillId="0" borderId="25" xfId="1" applyFont="1" applyFill="1" applyBorder="1" applyAlignment="1">
      <alignment horizontal="center" vertical="center" wrapText="1"/>
    </xf>
    <xf numFmtId="0" fontId="25" fillId="0" borderId="25" xfId="1" applyFont="1" applyFill="1" applyBorder="1" applyAlignment="1">
      <alignment horizontal="center" vertical="center"/>
    </xf>
    <xf numFmtId="0" fontId="25" fillId="0" borderId="62" xfId="1" applyFont="1" applyFill="1" applyBorder="1" applyAlignment="1">
      <alignment horizontal="center" vertical="center"/>
    </xf>
    <xf numFmtId="0" fontId="25" fillId="0" borderId="68" xfId="1" applyFont="1" applyFill="1" applyBorder="1" applyAlignment="1">
      <alignment horizontal="center" vertical="center"/>
    </xf>
    <xf numFmtId="0" fontId="27" fillId="0" borderId="60" xfId="1"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11" xfId="0" applyFont="1" applyFill="1" applyBorder="1" applyAlignment="1">
      <alignment horizontal="left" vertical="top" wrapText="1"/>
    </xf>
    <xf numFmtId="0" fontId="28" fillId="0" borderId="60" xfId="1"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11" xfId="0" applyFont="1" applyFill="1" applyBorder="1" applyAlignment="1">
      <alignment horizontal="left" vertical="top" wrapText="1"/>
    </xf>
    <xf numFmtId="0" fontId="25" fillId="0" borderId="72" xfId="1" applyFont="1" applyFill="1" applyBorder="1" applyAlignment="1">
      <alignment horizontal="center" vertical="center"/>
    </xf>
    <xf numFmtId="0" fontId="25" fillId="0" borderId="65" xfId="1" applyFont="1" applyFill="1" applyBorder="1" applyAlignment="1">
      <alignment vertical="center"/>
    </xf>
    <xf numFmtId="0" fontId="25" fillId="0" borderId="76" xfId="1" applyFont="1" applyFill="1" applyBorder="1" applyAlignment="1">
      <alignment vertical="center"/>
    </xf>
    <xf numFmtId="0" fontId="25" fillId="0" borderId="58" xfId="1" applyFont="1" applyFill="1" applyBorder="1" applyAlignment="1">
      <alignment horizontal="center" vertical="center" wrapText="1"/>
    </xf>
    <xf numFmtId="0" fontId="25" fillId="0" borderId="26" xfId="1" applyFont="1" applyFill="1" applyBorder="1" applyAlignment="1">
      <alignment horizontal="center" vertical="center"/>
    </xf>
    <xf numFmtId="0" fontId="25" fillId="0" borderId="73" xfId="1" applyFont="1" applyFill="1" applyBorder="1" applyAlignment="1">
      <alignment vertical="center"/>
    </xf>
    <xf numFmtId="0" fontId="25" fillId="0" borderId="61" xfId="1" applyFont="1" applyFill="1" applyBorder="1" applyAlignment="1">
      <alignment horizontal="center" vertical="center"/>
    </xf>
    <xf numFmtId="0" fontId="25" fillId="0" borderId="67" xfId="1" applyFont="1" applyFill="1" applyBorder="1" applyAlignment="1">
      <alignment vertical="center"/>
    </xf>
    <xf numFmtId="0" fontId="25" fillId="0" borderId="58" xfId="1" applyFont="1" applyFill="1" applyBorder="1" applyAlignment="1">
      <alignment horizontal="center" vertical="center"/>
    </xf>
    <xf numFmtId="0" fontId="25" fillId="5" borderId="74" xfId="1" applyFont="1" applyFill="1" applyBorder="1" applyAlignment="1">
      <alignment horizontal="center" vertical="center"/>
    </xf>
    <xf numFmtId="0" fontId="25" fillId="5" borderId="75" xfId="1" applyFont="1" applyFill="1" applyBorder="1" applyAlignment="1">
      <alignment horizontal="center" vertical="center"/>
    </xf>
    <xf numFmtId="0" fontId="25" fillId="5" borderId="22" xfId="1" applyFont="1" applyFill="1" applyBorder="1" applyAlignment="1">
      <alignment horizontal="center" vertical="center"/>
    </xf>
    <xf numFmtId="0" fontId="25" fillId="5" borderId="46" xfId="1" applyFont="1" applyFill="1" applyBorder="1" applyAlignment="1">
      <alignment horizontal="center" vertical="center"/>
    </xf>
    <xf numFmtId="0" fontId="25" fillId="5" borderId="47" xfId="1" applyFont="1" applyFill="1" applyBorder="1" applyAlignment="1">
      <alignment horizontal="center" vertical="center"/>
    </xf>
    <xf numFmtId="0" fontId="25" fillId="5" borderId="45" xfId="1" applyFont="1" applyFill="1" applyBorder="1" applyAlignment="1">
      <alignment horizontal="center" vertical="center"/>
    </xf>
    <xf numFmtId="0" fontId="25" fillId="5" borderId="18" xfId="1" applyFont="1" applyFill="1" applyBorder="1" applyAlignment="1">
      <alignment horizontal="center" vertical="center"/>
    </xf>
    <xf numFmtId="0" fontId="25" fillId="0" borderId="40" xfId="1" applyFont="1" applyBorder="1" applyAlignment="1">
      <alignment horizontal="center" vertical="center" textRotation="255"/>
    </xf>
    <xf numFmtId="0" fontId="25" fillId="0" borderId="2" xfId="1" applyFont="1" applyBorder="1" applyAlignment="1">
      <alignment horizontal="center" vertical="center" textRotation="255"/>
    </xf>
    <xf numFmtId="0" fontId="25" fillId="0" borderId="20" xfId="1" applyFont="1" applyBorder="1" applyAlignment="1">
      <alignment horizontal="center" vertical="center" shrinkToFit="1"/>
    </xf>
    <xf numFmtId="0" fontId="25" fillId="0" borderId="38" xfId="1" applyFont="1" applyBorder="1" applyAlignment="1">
      <alignment horizontal="center" vertical="center" shrinkToFit="1"/>
    </xf>
    <xf numFmtId="0" fontId="25" fillId="0" borderId="21" xfId="1" applyFont="1" applyBorder="1" applyAlignment="1">
      <alignment horizontal="center" vertical="center" shrinkToFit="1"/>
    </xf>
    <xf numFmtId="0" fontId="25" fillId="0" borderId="0" xfId="1" applyFont="1" applyBorder="1" applyAlignment="1">
      <alignment horizontal="center" vertical="center" shrinkToFit="1"/>
    </xf>
    <xf numFmtId="0" fontId="25" fillId="0" borderId="22" xfId="1" applyFont="1" applyBorder="1" applyAlignment="1">
      <alignment horizontal="center" vertical="center" shrinkToFit="1"/>
    </xf>
    <xf numFmtId="0" fontId="25" fillId="0" borderId="46" xfId="1" applyFont="1" applyBorder="1" applyAlignment="1">
      <alignment horizontal="center" vertical="center" shrinkToFit="1"/>
    </xf>
    <xf numFmtId="0" fontId="25" fillId="4" borderId="20" xfId="1" applyFont="1" applyFill="1" applyBorder="1" applyAlignment="1">
      <alignment horizontal="center" vertical="center" shrinkToFit="1"/>
    </xf>
    <xf numFmtId="0" fontId="25" fillId="4" borderId="39" xfId="1" applyFont="1" applyFill="1" applyBorder="1" applyAlignment="1">
      <alignment horizontal="center" vertical="center" shrinkToFit="1"/>
    </xf>
    <xf numFmtId="0" fontId="25" fillId="4" borderId="21" xfId="1" applyFont="1" applyFill="1" applyBorder="1" applyAlignment="1">
      <alignment horizontal="center" vertical="center" shrinkToFit="1"/>
    </xf>
    <xf numFmtId="0" fontId="25" fillId="4" borderId="48" xfId="1" applyFont="1" applyFill="1" applyBorder="1" applyAlignment="1">
      <alignment horizontal="center" vertical="center" shrinkToFit="1"/>
    </xf>
    <xf numFmtId="0" fontId="25" fillId="4" borderId="22" xfId="1" applyFont="1" applyFill="1" applyBorder="1" applyAlignment="1">
      <alignment horizontal="center" vertical="center" shrinkToFit="1"/>
    </xf>
    <xf numFmtId="0" fontId="25" fillId="4" borderId="47" xfId="1" applyFont="1" applyFill="1" applyBorder="1" applyAlignment="1">
      <alignment horizontal="center" vertical="center" shrinkToFit="1"/>
    </xf>
    <xf numFmtId="0" fontId="25" fillId="0" borderId="25" xfId="1" applyFont="1" applyFill="1" applyBorder="1" applyAlignment="1">
      <alignment vertical="center"/>
    </xf>
    <xf numFmtId="0" fontId="25" fillId="0" borderId="26" xfId="1" applyFont="1" applyFill="1" applyBorder="1" applyAlignment="1">
      <alignment vertical="center"/>
    </xf>
    <xf numFmtId="0" fontId="26" fillId="3" borderId="55" xfId="1" applyFont="1" applyFill="1" applyBorder="1" applyAlignment="1">
      <alignment horizontal="center" vertical="center" textRotation="255" shrinkToFit="1"/>
    </xf>
    <xf numFmtId="0" fontId="26" fillId="3" borderId="56" xfId="1" applyFont="1" applyFill="1" applyBorder="1" applyAlignment="1">
      <alignment horizontal="center" vertical="center" textRotation="255" shrinkToFit="1"/>
    </xf>
    <xf numFmtId="0" fontId="25" fillId="0" borderId="20" xfId="1" applyFont="1" applyBorder="1" applyAlignment="1">
      <alignment horizontal="center" vertical="center"/>
    </xf>
    <xf numFmtId="0" fontId="25" fillId="0" borderId="38" xfId="1" applyFont="1" applyBorder="1" applyAlignment="1">
      <alignment horizontal="center" vertical="center"/>
    </xf>
    <xf numFmtId="0" fontId="1" fillId="0" borderId="21" xfId="1" applyFont="1" applyBorder="1" applyAlignment="1">
      <alignment horizontal="center" vertical="center"/>
    </xf>
    <xf numFmtId="0" fontId="1" fillId="0" borderId="0" xfId="1" applyFont="1" applyBorder="1" applyAlignment="1">
      <alignment horizontal="center" vertical="center"/>
    </xf>
    <xf numFmtId="0" fontId="1" fillId="0" borderId="22" xfId="1" applyFont="1" applyBorder="1" applyAlignment="1">
      <alignment horizontal="center" vertical="center"/>
    </xf>
    <xf numFmtId="0" fontId="1" fillId="0" borderId="46" xfId="1" applyFont="1" applyBorder="1" applyAlignment="1">
      <alignment horizontal="center" vertical="center"/>
    </xf>
    <xf numFmtId="0" fontId="1" fillId="0" borderId="21"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22" xfId="1" applyFont="1" applyBorder="1" applyAlignment="1">
      <alignment horizontal="center" vertical="center" shrinkToFit="1"/>
    </xf>
    <xf numFmtId="0" fontId="1" fillId="0" borderId="46" xfId="1" applyFont="1" applyBorder="1" applyAlignment="1">
      <alignment horizontal="center" vertical="center" shrinkToFit="1"/>
    </xf>
    <xf numFmtId="0" fontId="26" fillId="3" borderId="40" xfId="1" applyFont="1" applyFill="1" applyBorder="1" applyAlignment="1">
      <alignment horizontal="center" vertical="center" textRotation="255" shrinkToFit="1"/>
    </xf>
    <xf numFmtId="0" fontId="26" fillId="3" borderId="2" xfId="1" applyFont="1" applyFill="1" applyBorder="1" applyAlignment="1">
      <alignment horizontal="center" vertical="center" textRotation="255" shrinkToFit="1"/>
    </xf>
    <xf numFmtId="0" fontId="2" fillId="0" borderId="0" xfId="1" applyFont="1" applyAlignment="1">
      <alignment horizontal="center" vertical="center"/>
    </xf>
    <xf numFmtId="0" fontId="0" fillId="0" borderId="0" xfId="0" applyAlignment="1">
      <alignment horizontal="center" vertical="center"/>
    </xf>
    <xf numFmtId="0" fontId="5" fillId="0" borderId="31" xfId="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6" fontId="11" fillId="0" borderId="0" xfId="1" applyNumberFormat="1" applyFont="1" applyBorder="1" applyAlignment="1">
      <alignment horizontal="left" shrinkToFit="1"/>
    </xf>
    <xf numFmtId="0" fontId="11" fillId="0" borderId="0" xfId="1" applyFont="1" applyBorder="1" applyAlignment="1">
      <alignment horizontal="left" shrinkToFit="1"/>
    </xf>
    <xf numFmtId="0" fontId="16" fillId="0" borderId="28" xfId="1" applyFont="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0" fontId="8" fillId="0" borderId="34" xfId="2" applyNumberFormat="1" applyFont="1" applyFill="1" applyBorder="1" applyAlignment="1">
      <alignment horizontal="center" shrinkToFit="1"/>
    </xf>
    <xf numFmtId="0" fontId="1" fillId="0" borderId="34" xfId="1" applyBorder="1" applyAlignment="1">
      <alignment horizontal="center" shrinkToFit="1"/>
    </xf>
    <xf numFmtId="56" fontId="11" fillId="0" borderId="34" xfId="1" applyNumberFormat="1" applyFont="1" applyBorder="1" applyAlignment="1">
      <alignment horizontal="left" shrinkToFit="1"/>
    </xf>
    <xf numFmtId="0" fontId="0" fillId="0" borderId="34" xfId="0" applyBorder="1" applyAlignment="1">
      <alignment horizontal="left" shrinkToFit="1"/>
    </xf>
    <xf numFmtId="0" fontId="23" fillId="0" borderId="35" xfId="1" applyNumberFormat="1" applyFont="1" applyBorder="1" applyAlignment="1">
      <alignment horizontal="center" vertical="top" wrapText="1" shrinkToFit="1"/>
    </xf>
    <xf numFmtId="0" fontId="23" fillId="0" borderId="36" xfId="1" applyFont="1" applyBorder="1" applyAlignment="1">
      <alignment horizontal="center" vertical="top" shrinkToFit="1"/>
    </xf>
    <xf numFmtId="0" fontId="7" fillId="0" borderId="42" xfId="1" applyFont="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7" fillId="0" borderId="49" xfId="1" applyFont="1" applyBorder="1" applyAlignment="1">
      <alignment horizontal="center" vertical="center"/>
    </xf>
    <xf numFmtId="0" fontId="0" fillId="0" borderId="32" xfId="0" applyBorder="1" applyAlignment="1">
      <alignment vertical="center"/>
    </xf>
    <xf numFmtId="0" fontId="0" fillId="0" borderId="50" xfId="0" applyBorder="1" applyAlignment="1">
      <alignment vertical="center"/>
    </xf>
    <xf numFmtId="0" fontId="7" fillId="0" borderId="45" xfId="1"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1" fillId="0" borderId="24" xfId="1" applyFont="1" applyBorder="1" applyAlignment="1">
      <alignment horizontal="center" vertical="center" textRotation="255"/>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10" fillId="0" borderId="37"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center" vertical="center"/>
    </xf>
    <xf numFmtId="0" fontId="10" fillId="0" borderId="45" xfId="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7" fillId="0" borderId="24" xfId="1" applyNumberFormat="1" applyFont="1" applyFill="1" applyBorder="1" applyAlignment="1">
      <alignment horizontal="center" vertical="center"/>
    </xf>
    <xf numFmtId="0" fontId="7" fillId="0" borderId="25" xfId="1" applyNumberFormat="1" applyFont="1" applyFill="1" applyBorder="1" applyAlignment="1">
      <alignment horizontal="center" vertical="center"/>
    </xf>
    <xf numFmtId="0" fontId="7" fillId="0" borderId="27" xfId="1" applyNumberFormat="1" applyFont="1" applyFill="1" applyBorder="1" applyAlignment="1">
      <alignment horizontal="center" vertical="center"/>
    </xf>
    <xf numFmtId="0" fontId="7" fillId="0" borderId="39" xfId="1" applyNumberFormat="1" applyFont="1" applyFill="1" applyBorder="1" applyAlignment="1">
      <alignment horizontal="center" vertical="center"/>
    </xf>
    <xf numFmtId="0" fontId="7" fillId="0" borderId="48" xfId="1" applyNumberFormat="1" applyFont="1" applyFill="1" applyBorder="1" applyAlignment="1">
      <alignment horizontal="center" vertical="center"/>
    </xf>
    <xf numFmtId="0" fontId="7" fillId="0" borderId="36" xfId="1" applyNumberFormat="1" applyFont="1" applyFill="1" applyBorder="1" applyAlignment="1">
      <alignment horizontal="center" vertical="center"/>
    </xf>
    <xf numFmtId="0" fontId="7" fillId="0" borderId="37" xfId="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1" fillId="0" borderId="0" xfId="1" applyFont="1" applyAlignment="1">
      <alignment horizontal="center" vertical="center" shrinkToFit="1"/>
    </xf>
    <xf numFmtId="0" fontId="8" fillId="0" borderId="0" xfId="1" applyFont="1" applyAlignment="1">
      <alignment horizontal="center" vertical="center" shrinkToFit="1"/>
    </xf>
    <xf numFmtId="0" fontId="25" fillId="0" borderId="0" xfId="1" applyFont="1" applyFill="1" applyAlignment="1">
      <alignment vertical="center" wrapText="1"/>
    </xf>
    <xf numFmtId="185" fontId="25" fillId="0" borderId="0" xfId="1" applyNumberFormat="1" applyFont="1" applyFill="1">
      <alignment vertical="center"/>
    </xf>
    <xf numFmtId="0" fontId="31" fillId="3" borderId="2" xfId="1" applyFont="1" applyFill="1" applyBorder="1" applyAlignment="1">
      <alignment horizontal="center" vertical="center" textRotation="255" shrinkToFit="1"/>
    </xf>
    <xf numFmtId="0" fontId="32" fillId="0" borderId="2" xfId="1" applyFont="1" applyFill="1" applyBorder="1" applyAlignment="1">
      <alignment horizontal="center" vertical="center" textRotation="255"/>
    </xf>
    <xf numFmtId="0" fontId="33" fillId="0" borderId="2" xfId="1" applyFont="1" applyFill="1" applyBorder="1" applyAlignment="1">
      <alignment horizontal="left" vertical="center"/>
    </xf>
    <xf numFmtId="0" fontId="25" fillId="0" borderId="2" xfId="1" applyFont="1" applyFill="1" applyBorder="1" applyAlignment="1">
      <alignment horizontal="center" vertical="center"/>
    </xf>
    <xf numFmtId="0" fontId="25" fillId="0" borderId="2" xfId="1" applyFont="1" applyFill="1" applyBorder="1" applyAlignment="1">
      <alignment horizontal="center" vertical="center"/>
    </xf>
    <xf numFmtId="0" fontId="27" fillId="0" borderId="31" xfId="1" applyFont="1" applyFill="1" applyBorder="1" applyAlignment="1">
      <alignment horizontal="center" vertical="center" wrapText="1"/>
    </xf>
    <xf numFmtId="0" fontId="27" fillId="0" borderId="32" xfId="1" applyFont="1" applyFill="1" applyBorder="1" applyAlignment="1">
      <alignment horizontal="center" vertical="center" wrapText="1"/>
    </xf>
    <xf numFmtId="0" fontId="27" fillId="0" borderId="33" xfId="1" applyFont="1" applyFill="1" applyBorder="1" applyAlignment="1">
      <alignment horizontal="center" vertical="center" wrapText="1"/>
    </xf>
    <xf numFmtId="0" fontId="25" fillId="0" borderId="2" xfId="1" applyFont="1" applyFill="1" applyBorder="1" applyAlignment="1">
      <alignment vertical="center"/>
    </xf>
    <xf numFmtId="0" fontId="27" fillId="0" borderId="1" xfId="1" applyFont="1" applyFill="1" applyBorder="1" applyAlignment="1">
      <alignment horizontal="center" vertical="center" wrapText="1"/>
    </xf>
    <xf numFmtId="0" fontId="25" fillId="0" borderId="2" xfId="1" applyFont="1" applyFill="1" applyBorder="1" applyAlignment="1">
      <alignment horizontal="right" vertical="center"/>
    </xf>
    <xf numFmtId="0" fontId="25" fillId="6" borderId="2" xfId="1" applyFont="1" applyFill="1" applyBorder="1" applyAlignment="1">
      <alignment horizontal="center" wrapText="1" shrinkToFit="1"/>
    </xf>
    <xf numFmtId="0" fontId="25" fillId="7" borderId="2" xfId="1" applyFont="1" applyFill="1" applyBorder="1" applyAlignment="1">
      <alignment horizontal="center" wrapText="1" shrinkToFit="1"/>
    </xf>
    <xf numFmtId="0" fontId="25" fillId="8" borderId="2" xfId="1" applyFont="1" applyFill="1" applyBorder="1" applyAlignment="1">
      <alignment horizontal="center" wrapText="1" shrinkToFit="1"/>
    </xf>
    <xf numFmtId="0" fontId="1" fillId="0" borderId="2" xfId="1" applyBorder="1" applyAlignment="1">
      <alignment horizontal="center" wrapText="1" shrinkToFit="1"/>
    </xf>
    <xf numFmtId="0" fontId="34" fillId="0" borderId="21" xfId="1" applyFont="1" applyFill="1" applyBorder="1" applyAlignment="1">
      <alignment horizontal="center" vertical="center" wrapText="1"/>
    </xf>
    <xf numFmtId="0" fontId="34" fillId="0" borderId="1" xfId="1" applyFont="1" applyFill="1" applyBorder="1" applyAlignment="1">
      <alignment horizontal="center" vertical="center" wrapText="1"/>
    </xf>
    <xf numFmtId="0" fontId="25" fillId="0" borderId="10" xfId="4" applyFont="1" applyBorder="1" applyAlignment="1">
      <alignment horizontal="center" wrapText="1" shrinkToFit="1"/>
    </xf>
    <xf numFmtId="0" fontId="25" fillId="0" borderId="60" xfId="1" applyFont="1" applyFill="1" applyBorder="1" applyAlignment="1">
      <alignment horizontal="center" vertical="center" shrinkToFit="1"/>
    </xf>
    <xf numFmtId="0" fontId="25" fillId="0" borderId="10" xfId="4" applyFont="1" applyBorder="1" applyAlignment="1">
      <alignment horizontal="center" wrapText="1" shrinkToFit="1"/>
    </xf>
    <xf numFmtId="0" fontId="25" fillId="0" borderId="10" xfId="1" applyFont="1" applyFill="1" applyBorder="1" applyAlignment="1">
      <alignment horizontal="center" vertical="center" shrinkToFit="1"/>
    </xf>
    <xf numFmtId="0" fontId="34" fillId="0" borderId="22" xfId="1" applyFont="1" applyFill="1" applyBorder="1" applyAlignment="1">
      <alignment horizontal="center" vertical="center" wrapText="1"/>
    </xf>
    <xf numFmtId="0" fontId="34" fillId="0" borderId="18" xfId="1" applyFont="1" applyFill="1" applyBorder="1" applyAlignment="1">
      <alignment horizontal="center" vertical="center" wrapText="1"/>
    </xf>
    <xf numFmtId="0" fontId="25" fillId="0" borderId="11" xfId="4" applyFont="1" applyBorder="1" applyAlignment="1">
      <alignment horizontal="center" wrapText="1" shrinkToFit="1"/>
    </xf>
    <xf numFmtId="0" fontId="25" fillId="0" borderId="11" xfId="1" applyFont="1" applyFill="1" applyBorder="1" applyAlignment="1">
      <alignment horizontal="center" vertical="center" shrinkToFit="1"/>
    </xf>
    <xf numFmtId="0" fontId="36" fillId="0" borderId="2" xfId="1" applyFont="1" applyFill="1" applyBorder="1" applyAlignment="1">
      <alignment horizontal="center" vertical="center" wrapText="1"/>
    </xf>
    <xf numFmtId="0" fontId="36" fillId="0" borderId="2" xfId="1" applyFont="1" applyFill="1" applyBorder="1" applyAlignment="1">
      <alignment horizontal="center" vertical="center" textRotation="255" shrinkToFit="1"/>
    </xf>
    <xf numFmtId="0" fontId="36" fillId="0" borderId="60" xfId="1" applyFont="1" applyFill="1" applyBorder="1" applyAlignment="1">
      <alignment horizontal="left" vertical="center"/>
    </xf>
    <xf numFmtId="0" fontId="28" fillId="0" borderId="2" xfId="1" applyFont="1" applyFill="1" applyBorder="1" applyAlignment="1">
      <alignment horizontal="left" vertical="top" wrapText="1"/>
    </xf>
    <xf numFmtId="0" fontId="28" fillId="0" borderId="2" xfId="1" applyFont="1" applyFill="1" applyBorder="1" applyAlignment="1">
      <alignment horizontal="left" vertical="top" wrapText="1"/>
    </xf>
    <xf numFmtId="186" fontId="36" fillId="0" borderId="60" xfId="1" applyNumberFormat="1" applyFont="1" applyFill="1" applyBorder="1">
      <alignment vertical="center"/>
    </xf>
    <xf numFmtId="0" fontId="36" fillId="0" borderId="60" xfId="1" applyFont="1" applyFill="1" applyBorder="1">
      <alignment vertical="center"/>
    </xf>
    <xf numFmtId="0" fontId="36" fillId="0" borderId="60" xfId="4" applyFont="1" applyFill="1" applyBorder="1" applyAlignment="1">
      <alignment horizontal="left" vertical="top" wrapText="1"/>
    </xf>
    <xf numFmtId="0" fontId="36" fillId="0" borderId="60" xfId="1" applyFont="1" applyFill="1" applyBorder="1" applyAlignment="1">
      <alignment horizontal="left" vertical="top" shrinkToFit="1"/>
    </xf>
    <xf numFmtId="0" fontId="36" fillId="0" borderId="10" xfId="4" applyFont="1" applyFill="1" applyBorder="1" applyAlignment="1">
      <alignment horizontal="left" vertical="top" wrapText="1"/>
    </xf>
    <xf numFmtId="0" fontId="36" fillId="0" borderId="2" xfId="1" applyFont="1" applyFill="1" applyBorder="1" applyAlignment="1">
      <alignment horizontal="center" vertical="center"/>
    </xf>
    <xf numFmtId="186" fontId="36" fillId="0" borderId="60" xfId="1" applyNumberFormat="1" applyFont="1" applyFill="1" applyBorder="1" applyAlignment="1">
      <alignment horizontal="right" vertical="center"/>
    </xf>
    <xf numFmtId="0" fontId="36" fillId="9" borderId="10" xfId="1" applyFont="1" applyFill="1" applyBorder="1">
      <alignment vertical="center"/>
    </xf>
    <xf numFmtId="0" fontId="9" fillId="0" borderId="2" xfId="1" applyFont="1" applyFill="1" applyBorder="1" applyAlignment="1">
      <alignment horizontal="left" vertical="top" wrapText="1"/>
    </xf>
    <xf numFmtId="185" fontId="36" fillId="0" borderId="10" xfId="1" applyNumberFormat="1" applyFont="1" applyFill="1" applyBorder="1">
      <alignment vertical="center"/>
    </xf>
    <xf numFmtId="0" fontId="36" fillId="0" borderId="10" xfId="1" applyFont="1" applyFill="1" applyBorder="1">
      <alignment vertical="center"/>
    </xf>
    <xf numFmtId="0" fontId="36" fillId="0" borderId="10" xfId="4" applyFont="1" applyFill="1" applyBorder="1" applyAlignment="1">
      <alignment horizontal="left" vertical="top" wrapText="1"/>
    </xf>
    <xf numFmtId="0" fontId="36" fillId="0" borderId="10" xfId="1" applyFont="1" applyFill="1" applyBorder="1" applyAlignment="1">
      <alignment horizontal="left" vertical="top" shrinkToFit="1"/>
    </xf>
    <xf numFmtId="0" fontId="36" fillId="0" borderId="2" xfId="1" applyFont="1" applyFill="1" applyBorder="1" applyAlignment="1">
      <alignment vertical="center"/>
    </xf>
    <xf numFmtId="0" fontId="36" fillId="0" borderId="10" xfId="1" applyFont="1" applyFill="1" applyBorder="1" applyAlignment="1">
      <alignment vertical="center"/>
    </xf>
    <xf numFmtId="0" fontId="36" fillId="0" borderId="11" xfId="1" applyFont="1" applyFill="1" applyBorder="1">
      <alignment vertical="center"/>
    </xf>
    <xf numFmtId="185" fontId="36" fillId="0" borderId="11" xfId="1" applyNumberFormat="1" applyFont="1" applyFill="1" applyBorder="1">
      <alignment vertical="center"/>
    </xf>
    <xf numFmtId="0" fontId="36" fillId="0" borderId="11" xfId="4" applyFont="1" applyFill="1" applyBorder="1" applyAlignment="1">
      <alignment horizontal="left" vertical="top" wrapText="1"/>
    </xf>
    <xf numFmtId="0" fontId="36" fillId="0" borderId="11" xfId="1" applyFont="1" applyFill="1" applyBorder="1" applyAlignment="1">
      <alignment horizontal="left" vertical="top" shrinkToFit="1"/>
    </xf>
    <xf numFmtId="0" fontId="36" fillId="0" borderId="11" xfId="1" applyFont="1" applyFill="1" applyBorder="1" applyAlignment="1">
      <alignment vertical="center"/>
    </xf>
    <xf numFmtId="0" fontId="36" fillId="5" borderId="74" xfId="1" applyFont="1" applyFill="1" applyBorder="1" applyAlignment="1">
      <alignment horizontal="center" vertical="center" wrapText="1"/>
    </xf>
    <xf numFmtId="0" fontId="36" fillId="5" borderId="70" xfId="1" applyFont="1" applyFill="1" applyBorder="1" applyAlignment="1">
      <alignment horizontal="center" vertical="center" wrapText="1"/>
    </xf>
    <xf numFmtId="0" fontId="36" fillId="5" borderId="71" xfId="1" applyFont="1" applyFill="1" applyBorder="1" applyAlignment="1">
      <alignment horizontal="center" vertical="center" wrapText="1"/>
    </xf>
    <xf numFmtId="0" fontId="36" fillId="3" borderId="60" xfId="1" applyFont="1" applyFill="1" applyBorder="1">
      <alignment vertical="center"/>
    </xf>
    <xf numFmtId="0" fontId="36" fillId="5" borderId="21" xfId="1" applyFont="1" applyFill="1" applyBorder="1" applyAlignment="1">
      <alignment horizontal="center" vertical="center" wrapText="1"/>
    </xf>
    <xf numFmtId="0" fontId="36" fillId="5" borderId="0" xfId="1" applyFont="1" applyFill="1" applyBorder="1" applyAlignment="1">
      <alignment horizontal="center" vertical="center" wrapText="1"/>
    </xf>
    <xf numFmtId="0" fontId="36" fillId="5" borderId="1" xfId="1" applyFont="1" applyFill="1" applyBorder="1" applyAlignment="1">
      <alignment horizontal="center" vertical="center" wrapText="1"/>
    </xf>
    <xf numFmtId="0" fontId="36" fillId="5" borderId="22" xfId="1" applyFont="1" applyFill="1" applyBorder="1" applyAlignment="1">
      <alignment horizontal="center" vertical="center" wrapText="1"/>
    </xf>
    <xf numFmtId="0" fontId="36" fillId="5" borderId="46" xfId="1" applyFont="1" applyFill="1" applyBorder="1" applyAlignment="1">
      <alignment horizontal="center" vertical="center" wrapText="1"/>
    </xf>
    <xf numFmtId="0" fontId="36" fillId="5" borderId="18" xfId="1" applyFont="1" applyFill="1" applyBorder="1" applyAlignment="1">
      <alignment horizontal="center" vertical="center" wrapText="1"/>
    </xf>
    <xf numFmtId="0" fontId="36" fillId="0" borderId="2" xfId="1" applyFont="1" applyFill="1" applyBorder="1" applyAlignment="1">
      <alignment vertical="center" wrapText="1"/>
    </xf>
    <xf numFmtId="0" fontId="36" fillId="10" borderId="10" xfId="1" applyFont="1" applyFill="1" applyBorder="1">
      <alignment vertical="center"/>
    </xf>
    <xf numFmtId="0" fontId="36" fillId="0" borderId="10" xfId="1" applyFont="1" applyFill="1" applyBorder="1" applyAlignment="1">
      <alignment horizontal="right" vertical="top" shrinkToFit="1"/>
    </xf>
    <xf numFmtId="0" fontId="36" fillId="11" borderId="60" xfId="1" applyFont="1" applyFill="1" applyBorder="1">
      <alignment vertical="center"/>
    </xf>
    <xf numFmtId="0" fontId="36" fillId="3" borderId="10" xfId="1" applyFont="1" applyFill="1" applyBorder="1">
      <alignment vertical="center"/>
    </xf>
    <xf numFmtId="0" fontId="36" fillId="11" borderId="10" xfId="1" applyFont="1" applyFill="1" applyBorder="1">
      <alignment vertical="center"/>
    </xf>
    <xf numFmtId="0" fontId="28" fillId="12" borderId="60" xfId="1" applyFont="1" applyFill="1" applyBorder="1" applyAlignment="1">
      <alignment horizontal="left" vertical="center"/>
    </xf>
    <xf numFmtId="0" fontId="36" fillId="13" borderId="2" xfId="1" applyFont="1" applyFill="1" applyBorder="1" applyAlignment="1">
      <alignment horizontal="center" vertical="center" wrapText="1"/>
    </xf>
    <xf numFmtId="0" fontId="36" fillId="13" borderId="2" xfId="1" applyFont="1" applyFill="1" applyBorder="1" applyAlignment="1">
      <alignment horizontal="center" vertical="center" textRotation="255" shrinkToFit="1"/>
    </xf>
    <xf numFmtId="0" fontId="36" fillId="13" borderId="2" xfId="1" applyFont="1" applyFill="1" applyBorder="1" applyAlignment="1">
      <alignment vertical="center"/>
    </xf>
    <xf numFmtId="0" fontId="36" fillId="5" borderId="74" xfId="1" applyFont="1" applyFill="1" applyBorder="1" applyAlignment="1">
      <alignment horizontal="center" vertical="center"/>
    </xf>
    <xf numFmtId="0" fontId="36" fillId="5" borderId="70" xfId="1" applyFont="1" applyFill="1" applyBorder="1" applyAlignment="1">
      <alignment horizontal="center" vertical="center"/>
    </xf>
    <xf numFmtId="0" fontId="36" fillId="5" borderId="71" xfId="1" applyFont="1" applyFill="1" applyBorder="1" applyAlignment="1">
      <alignment horizontal="center" vertical="center"/>
    </xf>
    <xf numFmtId="0" fontId="36" fillId="5" borderId="22" xfId="1" applyFont="1" applyFill="1" applyBorder="1" applyAlignment="1">
      <alignment horizontal="center" vertical="center"/>
    </xf>
    <xf numFmtId="0" fontId="36" fillId="5" borderId="46" xfId="1" applyFont="1" applyFill="1" applyBorder="1" applyAlignment="1">
      <alignment horizontal="center" vertical="center"/>
    </xf>
    <xf numFmtId="0" fontId="36" fillId="5" borderId="18" xfId="1" applyFont="1" applyFill="1" applyBorder="1" applyAlignment="1">
      <alignment horizontal="center" vertical="center"/>
    </xf>
    <xf numFmtId="0" fontId="36" fillId="0" borderId="11" xfId="1" applyFont="1" applyFill="1" applyBorder="1" applyAlignment="1">
      <alignment horizontal="center" vertical="center"/>
    </xf>
    <xf numFmtId="0" fontId="36" fillId="0" borderId="11" xfId="1" applyFont="1" applyFill="1" applyBorder="1" applyAlignment="1">
      <alignment horizontal="center" vertical="center" shrinkToFit="1"/>
    </xf>
    <xf numFmtId="0" fontId="36" fillId="0" borderId="31" xfId="1" applyFont="1" applyFill="1" applyBorder="1" applyAlignment="1">
      <alignment horizontal="center" vertical="center"/>
    </xf>
    <xf numFmtId="0" fontId="36" fillId="0" borderId="32" xfId="1" applyFont="1" applyFill="1" applyBorder="1" applyAlignment="1">
      <alignment horizontal="center" vertical="center"/>
    </xf>
    <xf numFmtId="0" fontId="36" fillId="0" borderId="33" xfId="1" applyFont="1" applyFill="1" applyBorder="1" applyAlignment="1">
      <alignment horizontal="center" vertical="center"/>
    </xf>
    <xf numFmtId="0" fontId="25" fillId="0" borderId="0" xfId="1" applyFont="1" applyFill="1" applyBorder="1">
      <alignment vertical="center"/>
    </xf>
    <xf numFmtId="0" fontId="36" fillId="0" borderId="0" xfId="4" applyFont="1" applyFill="1" applyBorder="1" applyAlignment="1">
      <alignment horizontal="left" vertical="top" wrapText="1"/>
    </xf>
    <xf numFmtId="0" fontId="36" fillId="0" borderId="70" xfId="1" applyFont="1" applyFill="1" applyBorder="1" applyAlignment="1">
      <alignment horizontal="left" vertical="center" shrinkToFit="1"/>
    </xf>
    <xf numFmtId="0" fontId="0" fillId="0" borderId="70" xfId="0" applyBorder="1" applyAlignment="1">
      <alignment vertical="center" shrinkToFit="1"/>
    </xf>
    <xf numFmtId="0" fontId="0" fillId="0" borderId="0" xfId="0" applyBorder="1" applyAlignment="1">
      <alignment vertical="center" shrinkToFit="1"/>
    </xf>
    <xf numFmtId="0" fontId="36" fillId="0" borderId="2" xfId="1" applyFont="1" applyFill="1" applyBorder="1" applyAlignment="1">
      <alignment horizontal="center" vertical="center" shrinkToFit="1"/>
    </xf>
    <xf numFmtId="0" fontId="36" fillId="0" borderId="2" xfId="1" applyFont="1" applyFill="1" applyBorder="1" applyAlignment="1">
      <alignment horizontal="center" vertical="center"/>
    </xf>
    <xf numFmtId="0" fontId="36" fillId="0" borderId="2" xfId="1" applyFont="1" applyFill="1" applyBorder="1" applyAlignment="1">
      <alignment vertical="center"/>
    </xf>
    <xf numFmtId="0" fontId="36" fillId="0" borderId="74" xfId="1" applyFont="1" applyFill="1" applyBorder="1" applyAlignment="1">
      <alignment horizontal="center" vertical="center"/>
    </xf>
    <xf numFmtId="0" fontId="36" fillId="0" borderId="71" xfId="1" applyFont="1" applyFill="1" applyBorder="1" applyAlignment="1">
      <alignment horizontal="center" vertical="center"/>
    </xf>
    <xf numFmtId="0" fontId="36" fillId="0" borderId="0" xfId="4" applyFont="1" applyFill="1" applyBorder="1" applyAlignment="1">
      <alignment vertical="center"/>
    </xf>
    <xf numFmtId="0" fontId="37" fillId="0" borderId="0"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36" fillId="0" borderId="31" xfId="1" applyFont="1" applyFill="1" applyBorder="1" applyAlignment="1">
      <alignment horizontal="center" vertical="center"/>
    </xf>
    <xf numFmtId="0" fontId="36" fillId="0" borderId="33" xfId="1" applyFont="1" applyFill="1" applyBorder="1">
      <alignment vertical="center"/>
    </xf>
    <xf numFmtId="186" fontId="36" fillId="0" borderId="2" xfId="1" applyNumberFormat="1" applyFont="1" applyFill="1" applyBorder="1" applyAlignment="1">
      <alignment horizontal="center" vertical="center"/>
    </xf>
    <xf numFmtId="185" fontId="36" fillId="0" borderId="2" xfId="1" applyNumberFormat="1" applyFont="1" applyFill="1" applyBorder="1" applyAlignment="1">
      <alignment horizontal="center" vertical="center"/>
    </xf>
    <xf numFmtId="185" fontId="36" fillId="0" borderId="2" xfId="1" applyNumberFormat="1" applyFont="1" applyFill="1" applyBorder="1" applyAlignment="1">
      <alignment vertical="center"/>
    </xf>
    <xf numFmtId="185" fontId="25" fillId="0" borderId="2" xfId="1" applyNumberFormat="1" applyFont="1" applyFill="1" applyBorder="1" applyAlignment="1">
      <alignment horizontal="center" vertical="center"/>
    </xf>
    <xf numFmtId="0" fontId="36" fillId="0" borderId="0" xfId="1" applyFont="1" applyFill="1" applyBorder="1" applyAlignment="1">
      <alignment horizontal="left" vertical="center"/>
    </xf>
    <xf numFmtId="0" fontId="36" fillId="0" borderId="0" xfId="1" applyFont="1" applyFill="1" applyBorder="1" applyAlignment="1">
      <alignment horizontal="center" vertical="center"/>
    </xf>
    <xf numFmtId="0" fontId="36" fillId="0" borderId="0" xfId="1" applyFont="1" applyFill="1" applyBorder="1" applyAlignment="1">
      <alignment vertical="center"/>
    </xf>
    <xf numFmtId="0" fontId="36" fillId="0" borderId="0" xfId="1" applyFont="1" applyFill="1" applyBorder="1" applyAlignment="1">
      <alignment horizontal="left" vertical="top"/>
    </xf>
    <xf numFmtId="0" fontId="25" fillId="0" borderId="70" xfId="1" applyFont="1" applyFill="1" applyBorder="1" applyAlignment="1">
      <alignment horizontal="center" vertical="center"/>
    </xf>
    <xf numFmtId="0" fontId="25" fillId="0" borderId="70" xfId="1" applyFont="1" applyFill="1" applyBorder="1">
      <alignment vertical="center"/>
    </xf>
    <xf numFmtId="0" fontId="38" fillId="0" borderId="70" xfId="1" applyFont="1" applyFill="1" applyBorder="1" applyAlignment="1">
      <alignment horizontal="left" vertical="center"/>
    </xf>
    <xf numFmtId="186" fontId="25" fillId="0" borderId="70" xfId="1" applyNumberFormat="1" applyFont="1" applyFill="1" applyBorder="1" applyAlignment="1">
      <alignment horizontal="center" vertical="center"/>
    </xf>
    <xf numFmtId="185" fontId="25" fillId="0" borderId="70" xfId="1" applyNumberFormat="1" applyFont="1" applyFill="1" applyBorder="1" applyAlignment="1">
      <alignment horizontal="center" vertical="center"/>
    </xf>
    <xf numFmtId="185" fontId="25" fillId="0" borderId="0" xfId="1" applyNumberFormat="1" applyFont="1" applyFill="1" applyBorder="1">
      <alignment vertical="center"/>
    </xf>
    <xf numFmtId="185" fontId="25" fillId="0" borderId="0" xfId="1" applyNumberFormat="1" applyFont="1" applyFill="1" applyBorder="1" applyAlignment="1">
      <alignment horizontal="center" vertical="center"/>
    </xf>
    <xf numFmtId="0" fontId="25" fillId="0" borderId="0" xfId="1" applyFont="1" applyFill="1" applyBorder="1" applyAlignment="1">
      <alignment horizontal="left" vertical="center"/>
    </xf>
    <xf numFmtId="0" fontId="25" fillId="0" borderId="0" xfId="1" applyFont="1" applyFill="1" applyBorder="1" applyAlignment="1">
      <alignment vertical="center" wrapText="1"/>
    </xf>
    <xf numFmtId="0" fontId="36" fillId="0" borderId="0" xfId="1" applyFont="1" applyFill="1" applyBorder="1" applyAlignment="1">
      <alignment vertical="center" wrapText="1"/>
    </xf>
    <xf numFmtId="0" fontId="25" fillId="0" borderId="0" xfId="1" applyFont="1" applyFill="1" applyBorder="1" applyAlignment="1">
      <alignment horizontal="left" vertical="top" wrapText="1"/>
    </xf>
    <xf numFmtId="0" fontId="25" fillId="0" borderId="0" xfId="1" applyFont="1" applyFill="1" applyAlignment="1">
      <alignment horizontal="left" vertical="center"/>
    </xf>
    <xf numFmtId="185" fontId="25" fillId="0" borderId="0" xfId="1" applyNumberFormat="1" applyFont="1" applyFill="1" applyBorder="1" applyAlignment="1">
      <alignment vertical="center"/>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s>
</file>

<file path=xl/drawings/_rels/drawing2.xml.rels><?xml version="1.0" encoding="UTF-8" standalone="yes"?>
<Relationships xmlns="http://schemas.openxmlformats.org/package/2006/relationships"><Relationship Id="rId8" Type="http://schemas.openxmlformats.org/officeDocument/2006/relationships/image" Target="../media/image46.png"/><Relationship Id="rId13" Type="http://schemas.openxmlformats.org/officeDocument/2006/relationships/image" Target="../media/image50.png"/><Relationship Id="rId18" Type="http://schemas.openxmlformats.org/officeDocument/2006/relationships/image" Target="../media/image55.png"/><Relationship Id="rId3" Type="http://schemas.openxmlformats.org/officeDocument/2006/relationships/image" Target="../media/image41.png"/><Relationship Id="rId7" Type="http://schemas.openxmlformats.org/officeDocument/2006/relationships/image" Target="../media/image45.png"/><Relationship Id="rId12" Type="http://schemas.openxmlformats.org/officeDocument/2006/relationships/image" Target="../media/image49.png"/><Relationship Id="rId17" Type="http://schemas.openxmlformats.org/officeDocument/2006/relationships/image" Target="../media/image54.png"/><Relationship Id="rId2" Type="http://schemas.openxmlformats.org/officeDocument/2006/relationships/image" Target="../media/image40.png"/><Relationship Id="rId16" Type="http://schemas.openxmlformats.org/officeDocument/2006/relationships/image" Target="../media/image53.png"/><Relationship Id="rId1" Type="http://schemas.openxmlformats.org/officeDocument/2006/relationships/image" Target="../media/image39.png"/><Relationship Id="rId6" Type="http://schemas.openxmlformats.org/officeDocument/2006/relationships/image" Target="../media/image44.png"/><Relationship Id="rId11" Type="http://schemas.openxmlformats.org/officeDocument/2006/relationships/image" Target="../media/image48.png"/><Relationship Id="rId5" Type="http://schemas.openxmlformats.org/officeDocument/2006/relationships/image" Target="../media/image43.png"/><Relationship Id="rId15" Type="http://schemas.openxmlformats.org/officeDocument/2006/relationships/image" Target="../media/image52.png"/><Relationship Id="rId10" Type="http://schemas.openxmlformats.org/officeDocument/2006/relationships/image" Target="../media/image47.png"/><Relationship Id="rId19" Type="http://schemas.openxmlformats.org/officeDocument/2006/relationships/image" Target="../media/image56.png"/><Relationship Id="rId4" Type="http://schemas.openxmlformats.org/officeDocument/2006/relationships/image" Target="../media/image42.png"/><Relationship Id="rId9" Type="http://schemas.openxmlformats.org/officeDocument/2006/relationships/image" Target="../media/image14.png"/><Relationship Id="rId14" Type="http://schemas.openxmlformats.org/officeDocument/2006/relationships/image" Target="../media/image51.png"/></Relationships>
</file>

<file path=xl/drawings/_rels/drawing3.xml.rels><?xml version="1.0" encoding="UTF-8" standalone="yes"?>
<Relationships xmlns="http://schemas.openxmlformats.org/package/2006/relationships"><Relationship Id="rId1" Type="http://schemas.openxmlformats.org/officeDocument/2006/relationships/image" Target="../media/image5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8.jpeg"/></Relationships>
</file>

<file path=xl/drawings/drawing1.xml><?xml version="1.0" encoding="utf-8"?>
<xdr:wsDr xmlns:xdr="http://schemas.openxmlformats.org/drawingml/2006/spreadsheetDrawing" xmlns:a="http://schemas.openxmlformats.org/drawingml/2006/main">
  <xdr:twoCellAnchor>
    <xdr:from>
      <xdr:col>13</xdr:col>
      <xdr:colOff>74084</xdr:colOff>
      <xdr:row>59</xdr:row>
      <xdr:rowOff>74084</xdr:rowOff>
    </xdr:from>
    <xdr:to>
      <xdr:col>14</xdr:col>
      <xdr:colOff>63500</xdr:colOff>
      <xdr:row>66</xdr:row>
      <xdr:rowOff>39159</xdr:rowOff>
    </xdr:to>
    <xdr:grpSp>
      <xdr:nvGrpSpPr>
        <xdr:cNvPr id="2" name="グループ化 17"/>
        <xdr:cNvGrpSpPr>
          <a:grpSpLocks/>
        </xdr:cNvGrpSpPr>
      </xdr:nvGrpSpPr>
      <xdr:grpSpPr bwMode="auto">
        <a:xfrm>
          <a:off x="7908397" y="10051522"/>
          <a:ext cx="1180041" cy="1131887"/>
          <a:chOff x="5094162" y="13729221"/>
          <a:chExt cx="1685722" cy="1137291"/>
        </a:xfrm>
      </xdr:grpSpPr>
      <xdr:sp macro="" textlink="">
        <xdr:nvSpPr>
          <xdr:cNvPr id="3" name="テキスト ボックス 2">
            <a:extLst>
              <a:ext uri="{FF2B5EF4-FFF2-40B4-BE49-F238E27FC236}">
                <a16:creationId xmlns="" xmlns:a16="http://schemas.microsoft.com/office/drawing/2014/main" id="{3B6AFB28-75A8-44B7-A406-244A8AE9766E}"/>
              </a:ext>
            </a:extLst>
          </xdr:cNvPr>
          <xdr:cNvSpPr txBox="1"/>
        </xdr:nvSpPr>
        <xdr:spPr bwMode="auto">
          <a:xfrm>
            <a:off x="5094162" y="13838005"/>
            <a:ext cx="1685722" cy="10285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418556</xdr:colOff>
      <xdr:row>63</xdr:row>
      <xdr:rowOff>155259</xdr:rowOff>
    </xdr:from>
    <xdr:to>
      <xdr:col>10</xdr:col>
      <xdr:colOff>160193</xdr:colOff>
      <xdr:row>65</xdr:row>
      <xdr:rowOff>119453</xdr:rowOff>
    </xdr:to>
    <xdr:pic>
      <xdr:nvPicPr>
        <xdr:cNvPr id="6" name="図 7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4906" y="10575609"/>
          <a:ext cx="970362" cy="288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1299290</xdr:colOff>
      <xdr:row>52</xdr:row>
      <xdr:rowOff>143044</xdr:rowOff>
    </xdr:from>
    <xdr:to>
      <xdr:col>2</xdr:col>
      <xdr:colOff>1797750</xdr:colOff>
      <xdr:row>56</xdr:row>
      <xdr:rowOff>66735</xdr:rowOff>
    </xdr:to>
    <xdr:pic>
      <xdr:nvPicPr>
        <xdr:cNvPr id="7" name="図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99365" y="8782219"/>
          <a:ext cx="498460" cy="571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10020</xdr:colOff>
      <xdr:row>63</xdr:row>
      <xdr:rowOff>90223</xdr:rowOff>
    </xdr:from>
    <xdr:to>
      <xdr:col>12</xdr:col>
      <xdr:colOff>694992</xdr:colOff>
      <xdr:row>69</xdr:row>
      <xdr:rowOff>16429</xdr:rowOff>
    </xdr:to>
    <xdr:pic>
      <xdr:nvPicPr>
        <xdr:cNvPr id="8" name="図 2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029945" y="10510573"/>
          <a:ext cx="684972" cy="897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892939</xdr:colOff>
      <xdr:row>66</xdr:row>
      <xdr:rowOff>28261</xdr:rowOff>
    </xdr:from>
    <xdr:to>
      <xdr:col>11</xdr:col>
      <xdr:colOff>233211</xdr:colOff>
      <xdr:row>67</xdr:row>
      <xdr:rowOff>141933</xdr:rowOff>
    </xdr:to>
    <xdr:pic>
      <xdr:nvPicPr>
        <xdr:cNvPr id="9" name="図 2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979289" y="10934386"/>
          <a:ext cx="959522" cy="275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933258</xdr:colOff>
      <xdr:row>66</xdr:row>
      <xdr:rowOff>81344</xdr:rowOff>
    </xdr:from>
    <xdr:to>
      <xdr:col>2</xdr:col>
      <xdr:colOff>1665473</xdr:colOff>
      <xdr:row>68</xdr:row>
      <xdr:rowOff>159828</xdr:rowOff>
    </xdr:to>
    <xdr:pic>
      <xdr:nvPicPr>
        <xdr:cNvPr id="10" name="図 838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33333" y="10987469"/>
          <a:ext cx="732215" cy="40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462943</xdr:colOff>
      <xdr:row>63</xdr:row>
      <xdr:rowOff>68319</xdr:rowOff>
    </xdr:from>
    <xdr:to>
      <xdr:col>2</xdr:col>
      <xdr:colOff>1775631</xdr:colOff>
      <xdr:row>66</xdr:row>
      <xdr:rowOff>145112</xdr:rowOff>
    </xdr:to>
    <xdr:pic>
      <xdr:nvPicPr>
        <xdr:cNvPr id="11" name="図 838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63018" y="10488669"/>
          <a:ext cx="1312688" cy="562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61</xdr:row>
      <xdr:rowOff>118992</xdr:rowOff>
    </xdr:from>
    <xdr:to>
      <xdr:col>2</xdr:col>
      <xdr:colOff>582812</xdr:colOff>
      <xdr:row>69</xdr:row>
      <xdr:rowOff>6098</xdr:rowOff>
    </xdr:to>
    <xdr:pic>
      <xdr:nvPicPr>
        <xdr:cNvPr id="12" name="図 8392"/>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8100" y="10215492"/>
          <a:ext cx="1144787" cy="1182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1060363</xdr:colOff>
      <xdr:row>64</xdr:row>
      <xdr:rowOff>5754</xdr:rowOff>
    </xdr:from>
    <xdr:to>
      <xdr:col>5</xdr:col>
      <xdr:colOff>271695</xdr:colOff>
      <xdr:row>68</xdr:row>
      <xdr:rowOff>109152</xdr:rowOff>
    </xdr:to>
    <xdr:pic>
      <xdr:nvPicPr>
        <xdr:cNvPr id="13" name="図 38"/>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917988" y="10588029"/>
          <a:ext cx="440057" cy="751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1350555</xdr:colOff>
      <xdr:row>50</xdr:row>
      <xdr:rowOff>65334</xdr:rowOff>
    </xdr:from>
    <xdr:to>
      <xdr:col>17</xdr:col>
      <xdr:colOff>1690041</xdr:colOff>
      <xdr:row>53</xdr:row>
      <xdr:rowOff>110531</xdr:rowOff>
    </xdr:to>
    <xdr:pic>
      <xdr:nvPicPr>
        <xdr:cNvPr id="14" name="図 15"/>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1151780" y="8380659"/>
          <a:ext cx="339486" cy="530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300484</xdr:colOff>
      <xdr:row>0</xdr:row>
      <xdr:rowOff>9361</xdr:rowOff>
    </xdr:from>
    <xdr:to>
      <xdr:col>17</xdr:col>
      <xdr:colOff>1009650</xdr:colOff>
      <xdr:row>6</xdr:row>
      <xdr:rowOff>19456</xdr:rowOff>
    </xdr:to>
    <xdr:pic>
      <xdr:nvPicPr>
        <xdr:cNvPr id="15" name="図 25"/>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0101709" y="9361"/>
          <a:ext cx="709166" cy="120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988274</xdr:colOff>
      <xdr:row>0</xdr:row>
      <xdr:rowOff>0</xdr:rowOff>
    </xdr:from>
    <xdr:to>
      <xdr:col>2</xdr:col>
      <xdr:colOff>1816911</xdr:colOff>
      <xdr:row>4</xdr:row>
      <xdr:rowOff>90496</xdr:rowOff>
    </xdr:to>
    <xdr:pic>
      <xdr:nvPicPr>
        <xdr:cNvPr id="16" name="図 11"/>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588349" y="0"/>
          <a:ext cx="828637" cy="97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340430</xdr:colOff>
      <xdr:row>0</xdr:row>
      <xdr:rowOff>0</xdr:rowOff>
    </xdr:from>
    <xdr:to>
      <xdr:col>2</xdr:col>
      <xdr:colOff>241969</xdr:colOff>
      <xdr:row>2</xdr:row>
      <xdr:rowOff>49189</xdr:rowOff>
    </xdr:to>
    <xdr:pic>
      <xdr:nvPicPr>
        <xdr:cNvPr id="17" name="図 9"/>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flipH="1">
          <a:off x="340430" y="0"/>
          <a:ext cx="501614" cy="630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93943</xdr:colOff>
      <xdr:row>0</xdr:row>
      <xdr:rowOff>151580</xdr:rowOff>
    </xdr:from>
    <xdr:to>
      <xdr:col>2</xdr:col>
      <xdr:colOff>1678270</xdr:colOff>
      <xdr:row>6</xdr:row>
      <xdr:rowOff>0</xdr:rowOff>
    </xdr:to>
    <xdr:pic>
      <xdr:nvPicPr>
        <xdr:cNvPr id="18" name="図 7"/>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94018" y="151580"/>
          <a:ext cx="1584327" cy="1039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51571</xdr:colOff>
      <xdr:row>0</xdr:row>
      <xdr:rowOff>76200</xdr:rowOff>
    </xdr:from>
    <xdr:to>
      <xdr:col>4</xdr:col>
      <xdr:colOff>272798</xdr:colOff>
      <xdr:row>1</xdr:row>
      <xdr:rowOff>119871</xdr:rowOff>
    </xdr:to>
    <xdr:pic>
      <xdr:nvPicPr>
        <xdr:cNvPr id="19" name="図 17"/>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680471" y="76200"/>
          <a:ext cx="1449952" cy="472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295413</xdr:colOff>
      <xdr:row>0</xdr:row>
      <xdr:rowOff>137701</xdr:rowOff>
    </xdr:from>
    <xdr:to>
      <xdr:col>5</xdr:col>
      <xdr:colOff>511618</xdr:colOff>
      <xdr:row>0</xdr:row>
      <xdr:rowOff>398734</xdr:rowOff>
    </xdr:to>
    <xdr:pic>
      <xdr:nvPicPr>
        <xdr:cNvPr id="20" name="図 19"/>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81763" y="137701"/>
          <a:ext cx="216205" cy="261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575502</xdr:colOff>
      <xdr:row>0</xdr:row>
      <xdr:rowOff>352260</xdr:rowOff>
    </xdr:from>
    <xdr:to>
      <xdr:col>5</xdr:col>
      <xdr:colOff>1231640</xdr:colOff>
      <xdr:row>2</xdr:row>
      <xdr:rowOff>97593</xdr:rowOff>
    </xdr:to>
    <xdr:pic>
      <xdr:nvPicPr>
        <xdr:cNvPr id="21" name="図 21"/>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661852" y="352260"/>
          <a:ext cx="656138" cy="326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1006960</xdr:colOff>
      <xdr:row>0</xdr:row>
      <xdr:rowOff>71191</xdr:rowOff>
    </xdr:from>
    <xdr:to>
      <xdr:col>5</xdr:col>
      <xdr:colOff>16935</xdr:colOff>
      <xdr:row>1</xdr:row>
      <xdr:rowOff>12726</xdr:rowOff>
    </xdr:to>
    <xdr:pic>
      <xdr:nvPicPr>
        <xdr:cNvPr id="22" name="図 23"/>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864585" y="71191"/>
          <a:ext cx="238700" cy="370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280608</xdr:colOff>
      <xdr:row>0</xdr:row>
      <xdr:rowOff>285750</xdr:rowOff>
    </xdr:from>
    <xdr:to>
      <xdr:col>3</xdr:col>
      <xdr:colOff>708105</xdr:colOff>
      <xdr:row>3</xdr:row>
      <xdr:rowOff>143156</xdr:rowOff>
    </xdr:to>
    <xdr:pic>
      <xdr:nvPicPr>
        <xdr:cNvPr id="23" name="図 8396"/>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909508" y="285750"/>
          <a:ext cx="427497" cy="590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16349</xdr:colOff>
      <xdr:row>3</xdr:row>
      <xdr:rowOff>33092</xdr:rowOff>
    </xdr:from>
    <xdr:to>
      <xdr:col>12</xdr:col>
      <xdr:colOff>165356</xdr:colOff>
      <xdr:row>5</xdr:row>
      <xdr:rowOff>84246</xdr:rowOff>
    </xdr:to>
    <xdr:pic>
      <xdr:nvPicPr>
        <xdr:cNvPr id="24" name="図 8398"/>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7036274" y="766517"/>
          <a:ext cx="149007" cy="355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229307</xdr:colOff>
      <xdr:row>0</xdr:row>
      <xdr:rowOff>216077</xdr:rowOff>
    </xdr:from>
    <xdr:to>
      <xdr:col>12</xdr:col>
      <xdr:colOff>174868</xdr:colOff>
      <xdr:row>0</xdr:row>
      <xdr:rowOff>386935</xdr:rowOff>
    </xdr:to>
    <xdr:pic>
      <xdr:nvPicPr>
        <xdr:cNvPr id="25" name="図 8400"/>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6544382" y="216077"/>
          <a:ext cx="650411" cy="170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488165</xdr:colOff>
      <xdr:row>0</xdr:row>
      <xdr:rowOff>113972</xdr:rowOff>
    </xdr:from>
    <xdr:to>
      <xdr:col>12</xdr:col>
      <xdr:colOff>714198</xdr:colOff>
      <xdr:row>0</xdr:row>
      <xdr:rowOff>386871</xdr:rowOff>
    </xdr:to>
    <xdr:pic>
      <xdr:nvPicPr>
        <xdr:cNvPr id="26" name="図 8402"/>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flipH="1">
          <a:off x="7508090" y="113972"/>
          <a:ext cx="226033" cy="272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1097842</xdr:colOff>
      <xdr:row>2</xdr:row>
      <xdr:rowOff>99006</xdr:rowOff>
    </xdr:from>
    <xdr:to>
      <xdr:col>17</xdr:col>
      <xdr:colOff>1970008</xdr:colOff>
      <xdr:row>5</xdr:row>
      <xdr:rowOff>114020</xdr:rowOff>
    </xdr:to>
    <xdr:pic>
      <xdr:nvPicPr>
        <xdr:cNvPr id="27" name="図 8404"/>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0899067" y="680031"/>
          <a:ext cx="872166" cy="47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1985985</xdr:colOff>
      <xdr:row>0</xdr:row>
      <xdr:rowOff>109250</xdr:rowOff>
    </xdr:from>
    <xdr:to>
      <xdr:col>18</xdr:col>
      <xdr:colOff>784816</xdr:colOff>
      <xdr:row>3</xdr:row>
      <xdr:rowOff>50936</xdr:rowOff>
    </xdr:to>
    <xdr:pic>
      <xdr:nvPicPr>
        <xdr:cNvPr id="28" name="図 8406"/>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flipH="1">
          <a:off x="11787210" y="109250"/>
          <a:ext cx="827656" cy="67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856157</xdr:colOff>
      <xdr:row>0</xdr:row>
      <xdr:rowOff>242377</xdr:rowOff>
    </xdr:from>
    <xdr:to>
      <xdr:col>19</xdr:col>
      <xdr:colOff>287368</xdr:colOff>
      <xdr:row>0</xdr:row>
      <xdr:rowOff>413235</xdr:rowOff>
    </xdr:to>
    <xdr:pic>
      <xdr:nvPicPr>
        <xdr:cNvPr id="29" name="図 55"/>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2686207" y="242377"/>
          <a:ext cx="659936" cy="170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1005553</xdr:colOff>
      <xdr:row>0</xdr:row>
      <xdr:rowOff>142711</xdr:rowOff>
    </xdr:from>
    <xdr:to>
      <xdr:col>17</xdr:col>
      <xdr:colOff>1691328</xdr:colOff>
      <xdr:row>1</xdr:row>
      <xdr:rowOff>102876</xdr:rowOff>
    </xdr:to>
    <xdr:pic>
      <xdr:nvPicPr>
        <xdr:cNvPr id="30" name="図 8408"/>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0806778" y="142711"/>
          <a:ext cx="685775" cy="388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1174298</xdr:colOff>
      <xdr:row>0</xdr:row>
      <xdr:rowOff>57151</xdr:rowOff>
    </xdr:from>
    <xdr:to>
      <xdr:col>27</xdr:col>
      <xdr:colOff>530264</xdr:colOff>
      <xdr:row>1</xdr:row>
      <xdr:rowOff>64230</xdr:rowOff>
    </xdr:to>
    <xdr:pic>
      <xdr:nvPicPr>
        <xdr:cNvPr id="31" name="図 8410"/>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5461798" y="57151"/>
          <a:ext cx="1289541" cy="435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985674</xdr:colOff>
      <xdr:row>0</xdr:row>
      <xdr:rowOff>175802</xdr:rowOff>
    </xdr:from>
    <xdr:to>
      <xdr:col>20</xdr:col>
      <xdr:colOff>103671</xdr:colOff>
      <xdr:row>1</xdr:row>
      <xdr:rowOff>46214</xdr:rowOff>
    </xdr:to>
    <xdr:pic>
      <xdr:nvPicPr>
        <xdr:cNvPr id="32" name="図 8414"/>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4044449" y="175802"/>
          <a:ext cx="346722" cy="299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209069</xdr:colOff>
      <xdr:row>0</xdr:row>
      <xdr:rowOff>116476</xdr:rowOff>
    </xdr:from>
    <xdr:to>
      <xdr:col>20</xdr:col>
      <xdr:colOff>1081874</xdr:colOff>
      <xdr:row>2</xdr:row>
      <xdr:rowOff>107318</xdr:rowOff>
    </xdr:to>
    <xdr:pic>
      <xdr:nvPicPr>
        <xdr:cNvPr id="33" name="図 32"/>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4496569" y="116476"/>
          <a:ext cx="872805" cy="571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5611</xdr:colOff>
      <xdr:row>0</xdr:row>
      <xdr:rowOff>161760</xdr:rowOff>
    </xdr:from>
    <xdr:to>
      <xdr:col>17</xdr:col>
      <xdr:colOff>317328</xdr:colOff>
      <xdr:row>1</xdr:row>
      <xdr:rowOff>82654</xdr:rowOff>
    </xdr:to>
    <xdr:pic>
      <xdr:nvPicPr>
        <xdr:cNvPr id="34" name="図 34"/>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9806836" y="161760"/>
          <a:ext cx="311717" cy="349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650045</xdr:colOff>
      <xdr:row>60</xdr:row>
      <xdr:rowOff>142228</xdr:rowOff>
    </xdr:from>
    <xdr:to>
      <xdr:col>28</xdr:col>
      <xdr:colOff>1169977</xdr:colOff>
      <xdr:row>67</xdr:row>
      <xdr:rowOff>74084</xdr:rowOff>
    </xdr:to>
    <xdr:pic>
      <xdr:nvPicPr>
        <xdr:cNvPr id="35" name="図 40"/>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6871120" y="10076803"/>
          <a:ext cx="1329557" cy="1065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381489</xdr:colOff>
      <xdr:row>66</xdr:row>
      <xdr:rowOff>16416</xdr:rowOff>
    </xdr:from>
    <xdr:to>
      <xdr:col>19</xdr:col>
      <xdr:colOff>602717</xdr:colOff>
      <xdr:row>68</xdr:row>
      <xdr:rowOff>142637</xdr:rowOff>
    </xdr:to>
    <xdr:pic>
      <xdr:nvPicPr>
        <xdr:cNvPr id="36" name="図 42"/>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211539" y="10922541"/>
          <a:ext cx="1449953" cy="450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248326</xdr:colOff>
      <xdr:row>63</xdr:row>
      <xdr:rowOff>149940</xdr:rowOff>
    </xdr:from>
    <xdr:to>
      <xdr:col>27</xdr:col>
      <xdr:colOff>333956</xdr:colOff>
      <xdr:row>67</xdr:row>
      <xdr:rowOff>20702</xdr:rowOff>
    </xdr:to>
    <xdr:pic>
      <xdr:nvPicPr>
        <xdr:cNvPr id="37" name="図 44"/>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6155076" y="10570290"/>
          <a:ext cx="399955" cy="518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709852</xdr:colOff>
      <xdr:row>66</xdr:row>
      <xdr:rowOff>10583</xdr:rowOff>
    </xdr:from>
    <xdr:to>
      <xdr:col>17</xdr:col>
      <xdr:colOff>1510895</xdr:colOff>
      <xdr:row>67</xdr:row>
      <xdr:rowOff>148071</xdr:rowOff>
    </xdr:to>
    <xdr:pic>
      <xdr:nvPicPr>
        <xdr:cNvPr id="38" name="図 48"/>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0511077" y="10916708"/>
          <a:ext cx="801043" cy="299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968894</xdr:colOff>
      <xdr:row>64</xdr:row>
      <xdr:rowOff>20905</xdr:rowOff>
    </xdr:from>
    <xdr:to>
      <xdr:col>26</xdr:col>
      <xdr:colOff>32344</xdr:colOff>
      <xdr:row>67</xdr:row>
      <xdr:rowOff>83607</xdr:rowOff>
    </xdr:to>
    <xdr:pic>
      <xdr:nvPicPr>
        <xdr:cNvPr id="39" name="図 50"/>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5256394" y="10603180"/>
          <a:ext cx="682700" cy="548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915489</xdr:colOff>
      <xdr:row>63</xdr:row>
      <xdr:rowOff>88437</xdr:rowOff>
    </xdr:from>
    <xdr:to>
      <xdr:col>20</xdr:col>
      <xdr:colOff>680770</xdr:colOff>
      <xdr:row>68</xdr:row>
      <xdr:rowOff>6451</xdr:rowOff>
    </xdr:to>
    <xdr:pic>
      <xdr:nvPicPr>
        <xdr:cNvPr id="40" name="図 52"/>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3974264" y="10508787"/>
          <a:ext cx="994006" cy="727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177559</xdr:colOff>
      <xdr:row>65</xdr:row>
      <xdr:rowOff>114451</xdr:rowOff>
    </xdr:from>
    <xdr:to>
      <xdr:col>4</xdr:col>
      <xdr:colOff>736104</xdr:colOff>
      <xdr:row>67</xdr:row>
      <xdr:rowOff>31423</xdr:rowOff>
    </xdr:to>
    <xdr:pic>
      <xdr:nvPicPr>
        <xdr:cNvPr id="41" name="図 54"/>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4035184" y="10858651"/>
          <a:ext cx="558545" cy="240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1953745</xdr:colOff>
      <xdr:row>64</xdr:row>
      <xdr:rowOff>40989</xdr:rowOff>
    </xdr:from>
    <xdr:to>
      <xdr:col>3</xdr:col>
      <xdr:colOff>530725</xdr:colOff>
      <xdr:row>66</xdr:row>
      <xdr:rowOff>10414</xdr:rowOff>
    </xdr:to>
    <xdr:pic>
      <xdr:nvPicPr>
        <xdr:cNvPr id="42" name="図 57"/>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2553820" y="10623264"/>
          <a:ext cx="605805" cy="29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302401</xdr:colOff>
      <xdr:row>65</xdr:row>
      <xdr:rowOff>117482</xdr:rowOff>
    </xdr:from>
    <xdr:to>
      <xdr:col>13</xdr:col>
      <xdr:colOff>570525</xdr:colOff>
      <xdr:row>67</xdr:row>
      <xdr:rowOff>76839</xdr:rowOff>
    </xdr:to>
    <xdr:pic>
      <xdr:nvPicPr>
        <xdr:cNvPr id="43" name="図 59"/>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8131951" y="10861682"/>
          <a:ext cx="268124" cy="28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581955</xdr:colOff>
      <xdr:row>64</xdr:row>
      <xdr:rowOff>23350</xdr:rowOff>
    </xdr:from>
    <xdr:to>
      <xdr:col>3</xdr:col>
      <xdr:colOff>1043010</xdr:colOff>
      <xdr:row>67</xdr:row>
      <xdr:rowOff>87534</xdr:rowOff>
    </xdr:to>
    <xdr:pic>
      <xdr:nvPicPr>
        <xdr:cNvPr id="44" name="図 61"/>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3210855" y="10605625"/>
          <a:ext cx="461055" cy="549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65809</xdr:colOff>
      <xdr:row>63</xdr:row>
      <xdr:rowOff>147575</xdr:rowOff>
    </xdr:from>
    <xdr:to>
      <xdr:col>4</xdr:col>
      <xdr:colOff>791801</xdr:colOff>
      <xdr:row>64</xdr:row>
      <xdr:rowOff>146983</xdr:rowOff>
    </xdr:to>
    <xdr:pic>
      <xdr:nvPicPr>
        <xdr:cNvPr id="45" name="図 63"/>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3923434" y="10567925"/>
          <a:ext cx="725992" cy="161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1295400</xdr:colOff>
      <xdr:row>0</xdr:row>
      <xdr:rowOff>308571</xdr:rowOff>
    </xdr:from>
    <xdr:to>
      <xdr:col>10</xdr:col>
      <xdr:colOff>235154</xdr:colOff>
      <xdr:row>0</xdr:row>
      <xdr:rowOff>550981</xdr:rowOff>
    </xdr:to>
    <xdr:pic>
      <xdr:nvPicPr>
        <xdr:cNvPr id="2"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0600" y="308571"/>
          <a:ext cx="882854" cy="24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1286479</xdr:colOff>
      <xdr:row>0</xdr:row>
      <xdr:rowOff>355129</xdr:rowOff>
    </xdr:from>
    <xdr:to>
      <xdr:col>15</xdr:col>
      <xdr:colOff>1200150</xdr:colOff>
      <xdr:row>0</xdr:row>
      <xdr:rowOff>794352</xdr:rowOff>
    </xdr:to>
    <xdr:pic>
      <xdr:nvPicPr>
        <xdr:cNvPr id="3"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16879" y="355129"/>
          <a:ext cx="1256696" cy="439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1269748</xdr:colOff>
      <xdr:row>0</xdr:row>
      <xdr:rowOff>282348</xdr:rowOff>
    </xdr:from>
    <xdr:to>
      <xdr:col>12</xdr:col>
      <xdr:colOff>962101</xdr:colOff>
      <xdr:row>0</xdr:row>
      <xdr:rowOff>604218</xdr:rowOff>
    </xdr:to>
    <xdr:pic>
      <xdr:nvPicPr>
        <xdr:cNvPr id="4"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71073" y="282348"/>
          <a:ext cx="1035378" cy="321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1095600</xdr:colOff>
      <xdr:row>0</xdr:row>
      <xdr:rowOff>274298</xdr:rowOff>
    </xdr:from>
    <xdr:to>
      <xdr:col>13</xdr:col>
      <xdr:colOff>702493</xdr:colOff>
      <xdr:row>1</xdr:row>
      <xdr:rowOff>65641</xdr:rowOff>
    </xdr:to>
    <xdr:pic>
      <xdr:nvPicPr>
        <xdr:cNvPr id="5"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39950" y="274298"/>
          <a:ext cx="949918" cy="620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914400</xdr:colOff>
      <xdr:row>0</xdr:row>
      <xdr:rowOff>76200</xdr:rowOff>
    </xdr:from>
    <xdr:to>
      <xdr:col>14</xdr:col>
      <xdr:colOff>1028700</xdr:colOff>
      <xdr:row>1</xdr:row>
      <xdr:rowOff>200555</xdr:rowOff>
    </xdr:to>
    <xdr:pic>
      <xdr:nvPicPr>
        <xdr:cNvPr id="6"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flipH="1">
          <a:off x="14201775" y="76200"/>
          <a:ext cx="1457325" cy="953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666750</xdr:colOff>
      <xdr:row>0</xdr:row>
      <xdr:rowOff>438150</xdr:rowOff>
    </xdr:from>
    <xdr:to>
      <xdr:col>6</xdr:col>
      <xdr:colOff>133350</xdr:colOff>
      <xdr:row>4</xdr:row>
      <xdr:rowOff>34386</xdr:rowOff>
    </xdr:to>
    <xdr:pic>
      <xdr:nvPicPr>
        <xdr:cNvPr id="7" name="図 2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295900" y="438150"/>
          <a:ext cx="809625" cy="1110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134570</xdr:colOff>
      <xdr:row>0</xdr:row>
      <xdr:rowOff>323850</xdr:rowOff>
    </xdr:from>
    <xdr:to>
      <xdr:col>3</xdr:col>
      <xdr:colOff>1010986</xdr:colOff>
      <xdr:row>2</xdr:row>
      <xdr:rowOff>39842</xdr:rowOff>
    </xdr:to>
    <xdr:pic>
      <xdr:nvPicPr>
        <xdr:cNvPr id="8" name="図 2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77670" y="323850"/>
          <a:ext cx="876416" cy="820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228600</xdr:colOff>
      <xdr:row>1</xdr:row>
      <xdr:rowOff>142466</xdr:rowOff>
    </xdr:from>
    <xdr:to>
      <xdr:col>2</xdr:col>
      <xdr:colOff>851662</xdr:colOff>
      <xdr:row>4</xdr:row>
      <xdr:rowOff>60669</xdr:rowOff>
    </xdr:to>
    <xdr:pic>
      <xdr:nvPicPr>
        <xdr:cNvPr id="9" name="図 2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flipH="1">
          <a:off x="828675" y="971141"/>
          <a:ext cx="623062" cy="604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272761</xdr:colOff>
      <xdr:row>0</xdr:row>
      <xdr:rowOff>110390</xdr:rowOff>
    </xdr:from>
    <xdr:to>
      <xdr:col>3</xdr:col>
      <xdr:colOff>146275</xdr:colOff>
      <xdr:row>2</xdr:row>
      <xdr:rowOff>57150</xdr:rowOff>
    </xdr:to>
    <xdr:pic>
      <xdr:nvPicPr>
        <xdr:cNvPr id="10" name="図 2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72761" y="110390"/>
          <a:ext cx="1816614" cy="105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1108691</xdr:colOff>
      <xdr:row>0</xdr:row>
      <xdr:rowOff>145548</xdr:rowOff>
    </xdr:from>
    <xdr:to>
      <xdr:col>4</xdr:col>
      <xdr:colOff>304800</xdr:colOff>
      <xdr:row>0</xdr:row>
      <xdr:rowOff>602898</xdr:rowOff>
    </xdr:to>
    <xdr:pic>
      <xdr:nvPicPr>
        <xdr:cNvPr id="11" name="図 3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051791" y="145548"/>
          <a:ext cx="539134" cy="4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786415</xdr:colOff>
      <xdr:row>0</xdr:row>
      <xdr:rowOff>299037</xdr:rowOff>
    </xdr:from>
    <xdr:to>
      <xdr:col>4</xdr:col>
      <xdr:colOff>1111207</xdr:colOff>
      <xdr:row>0</xdr:row>
      <xdr:rowOff>605624</xdr:rowOff>
    </xdr:to>
    <xdr:pic>
      <xdr:nvPicPr>
        <xdr:cNvPr id="12" name="図 3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72540" y="299037"/>
          <a:ext cx="324792" cy="306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1214035</xdr:colOff>
      <xdr:row>0</xdr:row>
      <xdr:rowOff>202768</xdr:rowOff>
    </xdr:from>
    <xdr:to>
      <xdr:col>5</xdr:col>
      <xdr:colOff>742950</xdr:colOff>
      <xdr:row>0</xdr:row>
      <xdr:rowOff>582082</xdr:rowOff>
    </xdr:to>
    <xdr:pic>
      <xdr:nvPicPr>
        <xdr:cNvPr id="13" name="図 3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00160" y="202768"/>
          <a:ext cx="871940" cy="379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1197011</xdr:colOff>
      <xdr:row>0</xdr:row>
      <xdr:rowOff>302536</xdr:rowOff>
    </xdr:from>
    <xdr:to>
      <xdr:col>6</xdr:col>
      <xdr:colOff>766171</xdr:colOff>
      <xdr:row>0</xdr:row>
      <xdr:rowOff>676971</xdr:rowOff>
    </xdr:to>
    <xdr:pic>
      <xdr:nvPicPr>
        <xdr:cNvPr id="14" name="図 3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826161" y="302536"/>
          <a:ext cx="912185" cy="374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320051</xdr:colOff>
      <xdr:row>0</xdr:row>
      <xdr:rowOff>169526</xdr:rowOff>
    </xdr:from>
    <xdr:to>
      <xdr:col>7</xdr:col>
      <xdr:colOff>1123950</xdr:colOff>
      <xdr:row>0</xdr:row>
      <xdr:rowOff>829785</xdr:rowOff>
    </xdr:to>
    <xdr:pic>
      <xdr:nvPicPr>
        <xdr:cNvPr id="15" name="図 39"/>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flipH="1">
          <a:off x="7635251" y="169526"/>
          <a:ext cx="803899" cy="660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501840</xdr:colOff>
      <xdr:row>0</xdr:row>
      <xdr:rowOff>569861</xdr:rowOff>
    </xdr:from>
    <xdr:to>
      <xdr:col>7</xdr:col>
      <xdr:colOff>89932</xdr:colOff>
      <xdr:row>1</xdr:row>
      <xdr:rowOff>152691</xdr:rowOff>
    </xdr:to>
    <xdr:pic>
      <xdr:nvPicPr>
        <xdr:cNvPr id="16" name="図 4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474015" y="569861"/>
          <a:ext cx="931117" cy="411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919553</xdr:colOff>
      <xdr:row>0</xdr:row>
      <xdr:rowOff>216506</xdr:rowOff>
    </xdr:from>
    <xdr:to>
      <xdr:col>11</xdr:col>
      <xdr:colOff>1085850</xdr:colOff>
      <xdr:row>1</xdr:row>
      <xdr:rowOff>1966</xdr:rowOff>
    </xdr:to>
    <xdr:pic>
      <xdr:nvPicPr>
        <xdr:cNvPr id="17" name="図 42"/>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1520878" y="216506"/>
          <a:ext cx="166297" cy="614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348637</xdr:colOff>
      <xdr:row>0</xdr:row>
      <xdr:rowOff>114300</xdr:rowOff>
    </xdr:from>
    <xdr:to>
      <xdr:col>11</xdr:col>
      <xdr:colOff>592662</xdr:colOff>
      <xdr:row>1</xdr:row>
      <xdr:rowOff>90839</xdr:rowOff>
    </xdr:to>
    <xdr:pic>
      <xdr:nvPicPr>
        <xdr:cNvPr id="18" name="図 44"/>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606937" y="114300"/>
          <a:ext cx="1587050" cy="805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75849</xdr:colOff>
      <xdr:row>0</xdr:row>
      <xdr:rowOff>733628</xdr:rowOff>
    </xdr:from>
    <xdr:to>
      <xdr:col>4</xdr:col>
      <xdr:colOff>1033905</xdr:colOff>
      <xdr:row>2</xdr:row>
      <xdr:rowOff>3680</xdr:rowOff>
    </xdr:to>
    <xdr:pic>
      <xdr:nvPicPr>
        <xdr:cNvPr id="19" name="図 4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361974" y="733628"/>
          <a:ext cx="958056" cy="374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1219200</xdr:colOff>
      <xdr:row>0</xdr:row>
      <xdr:rowOff>689111</xdr:rowOff>
    </xdr:from>
    <xdr:to>
      <xdr:col>10</xdr:col>
      <xdr:colOff>310563</xdr:colOff>
      <xdr:row>1</xdr:row>
      <xdr:rowOff>98225</xdr:rowOff>
    </xdr:to>
    <xdr:pic>
      <xdr:nvPicPr>
        <xdr:cNvPr id="20" name="図 4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534400" y="689111"/>
          <a:ext cx="1034463" cy="237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16</xdr:col>
      <xdr:colOff>76200</xdr:colOff>
      <xdr:row>57</xdr:row>
      <xdr:rowOff>104775</xdr:rowOff>
    </xdr:from>
    <xdr:to>
      <xdr:col>19</xdr:col>
      <xdr:colOff>409575</xdr:colOff>
      <xdr:row>66</xdr:row>
      <xdr:rowOff>161925</xdr:rowOff>
    </xdr:to>
    <xdr:pic>
      <xdr:nvPicPr>
        <xdr:cNvPr id="23584"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16725" y="14649450"/>
          <a:ext cx="3095625"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16</xdr:col>
      <xdr:colOff>123825</xdr:colOff>
      <xdr:row>54</xdr:row>
      <xdr:rowOff>190500</xdr:rowOff>
    </xdr:from>
    <xdr:to>
      <xdr:col>19</xdr:col>
      <xdr:colOff>409575</xdr:colOff>
      <xdr:row>63</xdr:row>
      <xdr:rowOff>209550</xdr:rowOff>
    </xdr:to>
    <xdr:pic>
      <xdr:nvPicPr>
        <xdr:cNvPr id="24608"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64350" y="14020800"/>
          <a:ext cx="3048000"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3"/>
  <sheetViews>
    <sheetView tabSelected="1" view="pageBreakPreview" zoomScale="40" zoomScaleNormal="90" zoomScaleSheetLayoutView="40" workbookViewId="0">
      <selection activeCell="T22" sqref="T22:T26"/>
    </sheetView>
  </sheetViews>
  <sheetFormatPr defaultRowHeight="13.5" x14ac:dyDescent="0.15"/>
  <cols>
    <col min="1" max="1" width="4.5" style="155" bestFit="1" customWidth="1"/>
    <col min="2" max="2" width="3.375" style="157" bestFit="1" customWidth="1"/>
    <col min="3" max="3" width="26.625" style="157" customWidth="1"/>
    <col min="4" max="6" width="16.125" style="157" customWidth="1"/>
    <col min="7" max="7" width="4.375" style="157" hidden="1" customWidth="1"/>
    <col min="8" max="8" width="5.125" style="285" hidden="1" customWidth="1"/>
    <col min="9" max="9" width="4.125" style="157" hidden="1" customWidth="1"/>
    <col min="10" max="10" width="10.625" style="157" hidden="1" customWidth="1"/>
    <col min="11" max="11" width="5.125" style="285" customWidth="1"/>
    <col min="12" max="12" width="4.125" style="157" bestFit="1" customWidth="1"/>
    <col min="13" max="13" width="10.625" style="157" customWidth="1"/>
    <col min="14" max="14" width="15.625" style="157" customWidth="1"/>
    <col min="15" max="15" width="2.375" style="157" customWidth="1"/>
    <col min="16" max="16" width="4.5" style="401" bestFit="1" customWidth="1"/>
    <col min="17" max="17" width="3.375" style="157" bestFit="1" customWidth="1"/>
    <col min="18" max="18" width="26.625" style="157" customWidth="1"/>
    <col min="19" max="21" width="16.125" style="157" customWidth="1"/>
    <col min="22" max="22" width="0.875" style="157" hidden="1" customWidth="1"/>
    <col min="23" max="23" width="5.125" style="285" hidden="1" customWidth="1"/>
    <col min="24" max="24" width="4.125" style="157" hidden="1" customWidth="1"/>
    <col min="25" max="25" width="10.625" style="157" hidden="1" customWidth="1"/>
    <col min="26" max="26" width="5.125" style="285" customWidth="1"/>
    <col min="27" max="27" width="4.125" style="157" bestFit="1" customWidth="1"/>
    <col min="28" max="28" width="10.625" style="157" customWidth="1"/>
    <col min="29" max="29" width="15.625" style="157" customWidth="1"/>
    <col min="30" max="16384" width="9" style="157"/>
  </cols>
  <sheetData>
    <row r="1" spans="1:29" ht="33.75" customHeight="1" x14ac:dyDescent="0.15">
      <c r="B1" s="284"/>
      <c r="P1" s="155"/>
    </row>
    <row r="2" spans="1:29" s="155" customFormat="1" ht="12" customHeight="1" x14ac:dyDescent="0.15">
      <c r="A2" s="286" t="s">
        <v>493</v>
      </c>
      <c r="B2" s="287" t="s">
        <v>494</v>
      </c>
      <c r="C2" s="288"/>
      <c r="D2" s="289" t="s">
        <v>495</v>
      </c>
      <c r="E2" s="289"/>
      <c r="F2" s="289"/>
      <c r="G2" s="290"/>
      <c r="H2" s="291" t="s">
        <v>496</v>
      </c>
      <c r="I2" s="292"/>
      <c r="J2" s="293"/>
      <c r="K2" s="291" t="s">
        <v>497</v>
      </c>
      <c r="L2" s="292"/>
      <c r="M2" s="293"/>
      <c r="N2" s="294"/>
      <c r="O2" s="295"/>
      <c r="P2" s="286" t="s">
        <v>493</v>
      </c>
      <c r="Q2" s="287" t="s">
        <v>494</v>
      </c>
      <c r="R2" s="296"/>
      <c r="S2" s="289" t="s">
        <v>495</v>
      </c>
      <c r="T2" s="289"/>
      <c r="U2" s="289"/>
      <c r="V2" s="290"/>
      <c r="W2" s="291" t="s">
        <v>496</v>
      </c>
      <c r="X2" s="292"/>
      <c r="Y2" s="293"/>
      <c r="Z2" s="291" t="s">
        <v>497</v>
      </c>
      <c r="AA2" s="292"/>
      <c r="AB2" s="293"/>
      <c r="AC2" s="294"/>
    </row>
    <row r="3" spans="1:29" s="155" customFormat="1" ht="12" customHeight="1" x14ac:dyDescent="0.15">
      <c r="A3" s="286"/>
      <c r="B3" s="287"/>
      <c r="C3" s="288"/>
      <c r="D3" s="297" t="s">
        <v>498</v>
      </c>
      <c r="E3" s="298" t="s">
        <v>499</v>
      </c>
      <c r="F3" s="299" t="s">
        <v>500</v>
      </c>
      <c r="G3" s="300"/>
      <c r="H3" s="301" t="s">
        <v>501</v>
      </c>
      <c r="I3" s="302"/>
      <c r="J3" s="303" t="s">
        <v>502</v>
      </c>
      <c r="K3" s="301" t="s">
        <v>501</v>
      </c>
      <c r="L3" s="302"/>
      <c r="M3" s="303" t="s">
        <v>502</v>
      </c>
      <c r="N3" s="304" t="s">
        <v>503</v>
      </c>
      <c r="O3" s="305"/>
      <c r="P3" s="286"/>
      <c r="Q3" s="287"/>
      <c r="R3" s="296"/>
      <c r="S3" s="297" t="s">
        <v>498</v>
      </c>
      <c r="T3" s="298" t="s">
        <v>499</v>
      </c>
      <c r="U3" s="299" t="s">
        <v>500</v>
      </c>
      <c r="V3" s="300"/>
      <c r="W3" s="301" t="s">
        <v>501</v>
      </c>
      <c r="X3" s="302"/>
      <c r="Y3" s="303" t="s">
        <v>502</v>
      </c>
      <c r="Z3" s="301" t="s">
        <v>501</v>
      </c>
      <c r="AA3" s="302"/>
      <c r="AB3" s="303" t="s">
        <v>502</v>
      </c>
      <c r="AC3" s="304" t="s">
        <v>503</v>
      </c>
    </row>
    <row r="4" spans="1:29" s="155" customFormat="1" ht="12" customHeight="1" x14ac:dyDescent="0.15">
      <c r="A4" s="286"/>
      <c r="B4" s="287"/>
      <c r="C4" s="288"/>
      <c r="D4" s="297"/>
      <c r="E4" s="298"/>
      <c r="F4" s="299"/>
      <c r="G4" s="300"/>
      <c r="H4" s="301"/>
      <c r="I4" s="302"/>
      <c r="J4" s="303"/>
      <c r="K4" s="301"/>
      <c r="L4" s="302"/>
      <c r="M4" s="303"/>
      <c r="N4" s="306"/>
      <c r="O4" s="305"/>
      <c r="P4" s="286"/>
      <c r="Q4" s="287"/>
      <c r="R4" s="296"/>
      <c r="S4" s="297"/>
      <c r="T4" s="298"/>
      <c r="U4" s="299"/>
      <c r="V4" s="300"/>
      <c r="W4" s="301"/>
      <c r="X4" s="302"/>
      <c r="Y4" s="303"/>
      <c r="Z4" s="301"/>
      <c r="AA4" s="302"/>
      <c r="AB4" s="303"/>
      <c r="AC4" s="306"/>
    </row>
    <row r="5" spans="1:29" s="155" customFormat="1" ht="12" customHeight="1" x14ac:dyDescent="0.15">
      <c r="A5" s="286"/>
      <c r="B5" s="287"/>
      <c r="C5" s="288"/>
      <c r="D5" s="297"/>
      <c r="E5" s="298"/>
      <c r="F5" s="299"/>
      <c r="G5" s="300"/>
      <c r="H5" s="301"/>
      <c r="I5" s="302"/>
      <c r="J5" s="303"/>
      <c r="K5" s="301"/>
      <c r="L5" s="302"/>
      <c r="M5" s="303"/>
      <c r="N5" s="306"/>
      <c r="O5" s="305"/>
      <c r="P5" s="286"/>
      <c r="Q5" s="287"/>
      <c r="R5" s="296"/>
      <c r="S5" s="297"/>
      <c r="T5" s="298"/>
      <c r="U5" s="299"/>
      <c r="V5" s="300"/>
      <c r="W5" s="301"/>
      <c r="X5" s="302"/>
      <c r="Y5" s="303"/>
      <c r="Z5" s="301"/>
      <c r="AA5" s="302"/>
      <c r="AB5" s="303"/>
      <c r="AC5" s="306"/>
    </row>
    <row r="6" spans="1:29" s="155" customFormat="1" ht="12" customHeight="1" x14ac:dyDescent="0.15">
      <c r="A6" s="286"/>
      <c r="B6" s="287"/>
      <c r="C6" s="288"/>
      <c r="D6" s="297"/>
      <c r="E6" s="298"/>
      <c r="F6" s="299"/>
      <c r="G6" s="300"/>
      <c r="H6" s="307"/>
      <c r="I6" s="308"/>
      <c r="J6" s="309"/>
      <c r="K6" s="307"/>
      <c r="L6" s="308"/>
      <c r="M6" s="309"/>
      <c r="N6" s="310"/>
      <c r="O6" s="305"/>
      <c r="P6" s="286"/>
      <c r="Q6" s="287"/>
      <c r="R6" s="296"/>
      <c r="S6" s="297"/>
      <c r="T6" s="298"/>
      <c r="U6" s="299"/>
      <c r="V6" s="300"/>
      <c r="W6" s="307"/>
      <c r="X6" s="308"/>
      <c r="Y6" s="309"/>
      <c r="Z6" s="307"/>
      <c r="AA6" s="308"/>
      <c r="AB6" s="309"/>
      <c r="AC6" s="310"/>
    </row>
    <row r="7" spans="1:29" ht="12.75" customHeight="1" x14ac:dyDescent="0.15">
      <c r="A7" s="311">
        <v>2</v>
      </c>
      <c r="B7" s="312" t="s">
        <v>442</v>
      </c>
      <c r="C7" s="313" t="s">
        <v>23</v>
      </c>
      <c r="D7" s="314" t="s">
        <v>504</v>
      </c>
      <c r="E7" s="314" t="s">
        <v>505</v>
      </c>
      <c r="F7" s="314" t="s">
        <v>506</v>
      </c>
      <c r="G7" s="315"/>
      <c r="H7" s="316">
        <v>400</v>
      </c>
      <c r="I7" s="317" t="s">
        <v>507</v>
      </c>
      <c r="J7" s="318" t="s">
        <v>79</v>
      </c>
      <c r="K7" s="316">
        <f>400*0.75</f>
        <v>300</v>
      </c>
      <c r="L7" s="317" t="s">
        <v>507</v>
      </c>
      <c r="M7" s="318" t="s">
        <v>79</v>
      </c>
      <c r="N7" s="319" t="s">
        <v>47</v>
      </c>
      <c r="O7" s="320"/>
      <c r="P7" s="321">
        <v>16</v>
      </c>
      <c r="Q7" s="321" t="s">
        <v>442</v>
      </c>
      <c r="R7" s="313" t="s">
        <v>23</v>
      </c>
      <c r="S7" s="314" t="s">
        <v>508</v>
      </c>
      <c r="T7" s="314" t="s">
        <v>509</v>
      </c>
      <c r="U7" s="314" t="s">
        <v>506</v>
      </c>
      <c r="V7" s="315"/>
      <c r="W7" s="322">
        <v>400</v>
      </c>
      <c r="X7" s="313" t="s">
        <v>510</v>
      </c>
      <c r="Y7" s="318" t="s">
        <v>79</v>
      </c>
      <c r="Z7" s="322">
        <f>400*0.75</f>
        <v>300</v>
      </c>
      <c r="AA7" s="313" t="s">
        <v>510</v>
      </c>
      <c r="AB7" s="318" t="s">
        <v>79</v>
      </c>
      <c r="AC7" s="319" t="s">
        <v>47</v>
      </c>
    </row>
    <row r="8" spans="1:29" ht="12.75" customHeight="1" x14ac:dyDescent="0.15">
      <c r="A8" s="311"/>
      <c r="B8" s="312"/>
      <c r="C8" s="323" t="s">
        <v>511</v>
      </c>
      <c r="D8" s="324"/>
      <c r="E8" s="324"/>
      <c r="F8" s="314"/>
      <c r="G8" s="315"/>
      <c r="H8" s="325">
        <v>15.299999999999995</v>
      </c>
      <c r="I8" s="326" t="s">
        <v>512</v>
      </c>
      <c r="J8" s="327"/>
      <c r="K8" s="325">
        <f>15.3*0.75</f>
        <v>11.475000000000001</v>
      </c>
      <c r="L8" s="326" t="s">
        <v>512</v>
      </c>
      <c r="M8" s="327"/>
      <c r="N8" s="328" t="s">
        <v>513</v>
      </c>
      <c r="O8" s="320"/>
      <c r="P8" s="329"/>
      <c r="Q8" s="321"/>
      <c r="R8" s="323" t="s">
        <v>64</v>
      </c>
      <c r="S8" s="324"/>
      <c r="T8" s="324"/>
      <c r="U8" s="314"/>
      <c r="V8" s="315"/>
      <c r="W8" s="325">
        <v>15.299999999999995</v>
      </c>
      <c r="X8" s="330" t="s">
        <v>512</v>
      </c>
      <c r="Y8" s="327"/>
      <c r="Z8" s="325">
        <f>15.3*0.75</f>
        <v>11.475000000000001</v>
      </c>
      <c r="AA8" s="330" t="s">
        <v>512</v>
      </c>
      <c r="AB8" s="327"/>
      <c r="AC8" s="328" t="s">
        <v>514</v>
      </c>
    </row>
    <row r="9" spans="1:29" ht="12.75" customHeight="1" x14ac:dyDescent="0.15">
      <c r="A9" s="311"/>
      <c r="B9" s="312"/>
      <c r="C9" s="326" t="s">
        <v>515</v>
      </c>
      <c r="D9" s="324"/>
      <c r="E9" s="324"/>
      <c r="F9" s="314"/>
      <c r="G9" s="315"/>
      <c r="H9" s="325">
        <v>11.899999999999999</v>
      </c>
      <c r="I9" s="326" t="s">
        <v>512</v>
      </c>
      <c r="J9" s="327"/>
      <c r="K9" s="325">
        <f>11.9*0.75</f>
        <v>8.9250000000000007</v>
      </c>
      <c r="L9" s="326" t="s">
        <v>512</v>
      </c>
      <c r="M9" s="327"/>
      <c r="N9" s="328" t="s">
        <v>516</v>
      </c>
      <c r="O9" s="320"/>
      <c r="P9" s="329"/>
      <c r="Q9" s="321"/>
      <c r="R9" s="326" t="s">
        <v>515</v>
      </c>
      <c r="S9" s="324"/>
      <c r="T9" s="324"/>
      <c r="U9" s="314"/>
      <c r="V9" s="315"/>
      <c r="W9" s="325">
        <v>11.899999999999999</v>
      </c>
      <c r="X9" s="330" t="s">
        <v>512</v>
      </c>
      <c r="Y9" s="327"/>
      <c r="Z9" s="325">
        <f>11.9*0.75</f>
        <v>8.9250000000000007</v>
      </c>
      <c r="AA9" s="330" t="s">
        <v>512</v>
      </c>
      <c r="AB9" s="327"/>
      <c r="AC9" s="328"/>
    </row>
    <row r="10" spans="1:29" ht="12.75" customHeight="1" x14ac:dyDescent="0.15">
      <c r="A10" s="311"/>
      <c r="B10" s="312"/>
      <c r="C10" s="326" t="s">
        <v>58</v>
      </c>
      <c r="D10" s="324"/>
      <c r="E10" s="324"/>
      <c r="F10" s="314"/>
      <c r="G10" s="315"/>
      <c r="H10" s="325">
        <v>56.8</v>
      </c>
      <c r="I10" s="326" t="s">
        <v>512</v>
      </c>
      <c r="J10" s="327"/>
      <c r="K10" s="325">
        <f>56.8*0.75</f>
        <v>42.599999999999994</v>
      </c>
      <c r="L10" s="326" t="s">
        <v>512</v>
      </c>
      <c r="M10" s="327"/>
      <c r="N10" s="328"/>
      <c r="O10" s="320"/>
      <c r="P10" s="329"/>
      <c r="Q10" s="321"/>
      <c r="R10" s="326" t="s">
        <v>58</v>
      </c>
      <c r="S10" s="324"/>
      <c r="T10" s="324"/>
      <c r="U10" s="314"/>
      <c r="V10" s="315"/>
      <c r="W10" s="325">
        <v>56.8</v>
      </c>
      <c r="X10" s="330" t="s">
        <v>512</v>
      </c>
      <c r="Y10" s="327"/>
      <c r="Z10" s="325">
        <f>56.8*0.75</f>
        <v>42.599999999999994</v>
      </c>
      <c r="AA10" s="330" t="s">
        <v>512</v>
      </c>
      <c r="AB10" s="327"/>
      <c r="AC10" s="328"/>
    </row>
    <row r="11" spans="1:29" ht="12.75" customHeight="1" x14ac:dyDescent="0.15">
      <c r="A11" s="311"/>
      <c r="B11" s="312"/>
      <c r="C11" s="331" t="s">
        <v>82</v>
      </c>
      <c r="D11" s="324"/>
      <c r="E11" s="324"/>
      <c r="F11" s="314"/>
      <c r="G11" s="315"/>
      <c r="H11" s="332">
        <v>0.9</v>
      </c>
      <c r="I11" s="331" t="s">
        <v>517</v>
      </c>
      <c r="J11" s="333"/>
      <c r="K11" s="332">
        <f>0.9*0.75</f>
        <v>0.67500000000000004</v>
      </c>
      <c r="L11" s="331" t="s">
        <v>517</v>
      </c>
      <c r="M11" s="333"/>
      <c r="N11" s="334"/>
      <c r="O11" s="320"/>
      <c r="P11" s="329"/>
      <c r="Q11" s="321"/>
      <c r="R11" s="331" t="s">
        <v>82</v>
      </c>
      <c r="S11" s="324"/>
      <c r="T11" s="324"/>
      <c r="U11" s="314"/>
      <c r="V11" s="315"/>
      <c r="W11" s="332">
        <v>0.9</v>
      </c>
      <c r="X11" s="335" t="s">
        <v>512</v>
      </c>
      <c r="Y11" s="333"/>
      <c r="Z11" s="332">
        <f>0.9*0.75</f>
        <v>0.67500000000000004</v>
      </c>
      <c r="AA11" s="335" t="s">
        <v>512</v>
      </c>
      <c r="AB11" s="333"/>
      <c r="AC11" s="334"/>
    </row>
    <row r="12" spans="1:29" ht="12.75" customHeight="1" x14ac:dyDescent="0.15">
      <c r="A12" s="336"/>
      <c r="B12" s="337"/>
      <c r="C12" s="337"/>
      <c r="D12" s="337"/>
      <c r="E12" s="337"/>
      <c r="F12" s="337"/>
      <c r="G12" s="337"/>
      <c r="H12" s="337"/>
      <c r="I12" s="337"/>
      <c r="J12" s="337"/>
      <c r="K12" s="337"/>
      <c r="L12" s="337"/>
      <c r="M12" s="337"/>
      <c r="N12" s="338"/>
      <c r="O12" s="320"/>
      <c r="P12" s="321">
        <v>17</v>
      </c>
      <c r="Q12" s="321" t="s">
        <v>448</v>
      </c>
      <c r="R12" s="339" t="s">
        <v>91</v>
      </c>
      <c r="S12" s="314" t="s">
        <v>518</v>
      </c>
      <c r="T12" s="314" t="s">
        <v>519</v>
      </c>
      <c r="U12" s="314" t="s">
        <v>520</v>
      </c>
      <c r="V12" s="315"/>
      <c r="W12" s="316">
        <v>427</v>
      </c>
      <c r="X12" s="317" t="s">
        <v>507</v>
      </c>
      <c r="Y12" s="318" t="s">
        <v>129</v>
      </c>
      <c r="Z12" s="316">
        <f>427*0.75</f>
        <v>320.25</v>
      </c>
      <c r="AA12" s="317" t="s">
        <v>507</v>
      </c>
      <c r="AB12" s="318" t="s">
        <v>129</v>
      </c>
      <c r="AC12" s="319" t="s">
        <v>47</v>
      </c>
    </row>
    <row r="13" spans="1:29" ht="12.75" customHeight="1" x14ac:dyDescent="0.15">
      <c r="A13" s="340"/>
      <c r="B13" s="341"/>
      <c r="C13" s="341"/>
      <c r="D13" s="341"/>
      <c r="E13" s="341"/>
      <c r="F13" s="341"/>
      <c r="G13" s="341"/>
      <c r="H13" s="341"/>
      <c r="I13" s="341"/>
      <c r="J13" s="341"/>
      <c r="K13" s="341"/>
      <c r="L13" s="341"/>
      <c r="M13" s="341"/>
      <c r="N13" s="342"/>
      <c r="O13" s="320"/>
      <c r="P13" s="321"/>
      <c r="Q13" s="321"/>
      <c r="R13" s="326" t="s">
        <v>98</v>
      </c>
      <c r="S13" s="314"/>
      <c r="T13" s="314"/>
      <c r="U13" s="314"/>
      <c r="V13" s="315"/>
      <c r="W13" s="325">
        <v>12.3</v>
      </c>
      <c r="X13" s="326" t="s">
        <v>512</v>
      </c>
      <c r="Y13" s="327"/>
      <c r="Z13" s="325">
        <f>12.3*0.75</f>
        <v>9.2250000000000014</v>
      </c>
      <c r="AA13" s="326" t="s">
        <v>512</v>
      </c>
      <c r="AB13" s="327"/>
      <c r="AC13" s="328" t="s">
        <v>521</v>
      </c>
    </row>
    <row r="14" spans="1:29" ht="12.75" customHeight="1" x14ac:dyDescent="0.15">
      <c r="A14" s="343"/>
      <c r="B14" s="344"/>
      <c r="C14" s="344"/>
      <c r="D14" s="344"/>
      <c r="E14" s="344"/>
      <c r="F14" s="344"/>
      <c r="G14" s="344"/>
      <c r="H14" s="344"/>
      <c r="I14" s="344"/>
      <c r="J14" s="344"/>
      <c r="K14" s="344"/>
      <c r="L14" s="344"/>
      <c r="M14" s="344"/>
      <c r="N14" s="345"/>
      <c r="O14" s="320"/>
      <c r="P14" s="321"/>
      <c r="Q14" s="321"/>
      <c r="R14" s="326" t="s">
        <v>103</v>
      </c>
      <c r="S14" s="314"/>
      <c r="T14" s="314"/>
      <c r="U14" s="314"/>
      <c r="V14" s="315"/>
      <c r="W14" s="325">
        <v>11.399999999999999</v>
      </c>
      <c r="X14" s="326" t="s">
        <v>512</v>
      </c>
      <c r="Y14" s="327"/>
      <c r="Z14" s="325">
        <f>11.4*0.75</f>
        <v>8.5500000000000007</v>
      </c>
      <c r="AA14" s="326" t="s">
        <v>512</v>
      </c>
      <c r="AB14" s="327"/>
      <c r="AC14" s="328"/>
    </row>
    <row r="15" spans="1:29" ht="12.75" customHeight="1" x14ac:dyDescent="0.15">
      <c r="A15" s="311">
        <v>4</v>
      </c>
      <c r="B15" s="312" t="s">
        <v>55</v>
      </c>
      <c r="C15" s="317" t="s">
        <v>115</v>
      </c>
      <c r="D15" s="314" t="s">
        <v>522</v>
      </c>
      <c r="E15" s="314" t="s">
        <v>523</v>
      </c>
      <c r="F15" s="314" t="s">
        <v>524</v>
      </c>
      <c r="G15" s="315"/>
      <c r="H15" s="316">
        <v>403</v>
      </c>
      <c r="I15" s="313" t="s">
        <v>510</v>
      </c>
      <c r="J15" s="318" t="s">
        <v>525</v>
      </c>
      <c r="K15" s="316">
        <f>403*0.75</f>
        <v>302.25</v>
      </c>
      <c r="L15" s="313" t="s">
        <v>510</v>
      </c>
      <c r="M15" s="318" t="s">
        <v>525</v>
      </c>
      <c r="N15" s="319" t="s">
        <v>47</v>
      </c>
      <c r="O15" s="320"/>
      <c r="P15" s="321"/>
      <c r="Q15" s="321"/>
      <c r="R15" s="326"/>
      <c r="S15" s="314"/>
      <c r="T15" s="314"/>
      <c r="U15" s="314"/>
      <c r="V15" s="315"/>
      <c r="W15" s="325">
        <v>67</v>
      </c>
      <c r="X15" s="326" t="s">
        <v>512</v>
      </c>
      <c r="Y15" s="327"/>
      <c r="Z15" s="325">
        <f>67*0.75</f>
        <v>50.25</v>
      </c>
      <c r="AA15" s="326" t="s">
        <v>512</v>
      </c>
      <c r="AB15" s="327"/>
      <c r="AC15" s="328"/>
    </row>
    <row r="16" spans="1:29" ht="12.75" customHeight="1" x14ac:dyDescent="0.15">
      <c r="A16" s="346"/>
      <c r="B16" s="312"/>
      <c r="C16" s="347" t="s">
        <v>526</v>
      </c>
      <c r="D16" s="314"/>
      <c r="E16" s="314"/>
      <c r="F16" s="314"/>
      <c r="G16" s="315"/>
      <c r="H16" s="325">
        <v>14.399999999999999</v>
      </c>
      <c r="I16" s="326" t="s">
        <v>512</v>
      </c>
      <c r="J16" s="327"/>
      <c r="K16" s="325">
        <f>14.4*0.75</f>
        <v>10.8</v>
      </c>
      <c r="L16" s="326" t="s">
        <v>512</v>
      </c>
      <c r="M16" s="327"/>
      <c r="N16" s="328" t="s">
        <v>527</v>
      </c>
      <c r="O16" s="320"/>
      <c r="P16" s="321"/>
      <c r="Q16" s="321"/>
      <c r="R16" s="331"/>
      <c r="S16" s="314"/>
      <c r="T16" s="314"/>
      <c r="U16" s="314"/>
      <c r="V16" s="315"/>
      <c r="W16" s="332">
        <v>1.4000000000000001</v>
      </c>
      <c r="X16" s="331" t="s">
        <v>517</v>
      </c>
      <c r="Y16" s="333"/>
      <c r="Z16" s="332">
        <f>1.4*0.75</f>
        <v>1.0499999999999998</v>
      </c>
      <c r="AA16" s="331" t="s">
        <v>517</v>
      </c>
      <c r="AB16" s="333"/>
      <c r="AC16" s="334"/>
    </row>
    <row r="17" spans="1:29" ht="12.75" customHeight="1" x14ac:dyDescent="0.15">
      <c r="A17" s="346"/>
      <c r="B17" s="312"/>
      <c r="C17" s="326" t="s">
        <v>123</v>
      </c>
      <c r="D17" s="314"/>
      <c r="E17" s="314"/>
      <c r="F17" s="314"/>
      <c r="G17" s="315"/>
      <c r="H17" s="325">
        <v>8.8999999999999986</v>
      </c>
      <c r="I17" s="326" t="s">
        <v>512</v>
      </c>
      <c r="J17" s="327"/>
      <c r="K17" s="325">
        <f>8.9*0.75</f>
        <v>6.6750000000000007</v>
      </c>
      <c r="L17" s="326" t="s">
        <v>512</v>
      </c>
      <c r="M17" s="327"/>
      <c r="N17" s="348"/>
      <c r="O17" s="320"/>
      <c r="P17" s="311">
        <v>18</v>
      </c>
      <c r="Q17" s="312" t="s">
        <v>55</v>
      </c>
      <c r="R17" s="317" t="s">
        <v>115</v>
      </c>
      <c r="S17" s="314" t="s">
        <v>522</v>
      </c>
      <c r="T17" s="314" t="s">
        <v>523</v>
      </c>
      <c r="U17" s="314" t="s">
        <v>524</v>
      </c>
      <c r="V17" s="315"/>
      <c r="W17" s="316">
        <v>403</v>
      </c>
      <c r="X17" s="313" t="s">
        <v>510</v>
      </c>
      <c r="Y17" s="318" t="s">
        <v>525</v>
      </c>
      <c r="Z17" s="316">
        <f>403*0.75</f>
        <v>302.25</v>
      </c>
      <c r="AA17" s="313" t="s">
        <v>510</v>
      </c>
      <c r="AB17" s="318" t="s">
        <v>525</v>
      </c>
      <c r="AC17" s="319" t="s">
        <v>47</v>
      </c>
    </row>
    <row r="18" spans="1:29" ht="12.75" customHeight="1" x14ac:dyDescent="0.15">
      <c r="A18" s="346"/>
      <c r="B18" s="312"/>
      <c r="C18" s="326" t="s">
        <v>127</v>
      </c>
      <c r="D18" s="314"/>
      <c r="E18" s="314"/>
      <c r="F18" s="314"/>
      <c r="G18" s="315"/>
      <c r="H18" s="325">
        <v>64.09999999999998</v>
      </c>
      <c r="I18" s="326" t="s">
        <v>512</v>
      </c>
      <c r="J18" s="327"/>
      <c r="K18" s="325">
        <f>64.1*0.75</f>
        <v>48.074999999999996</v>
      </c>
      <c r="L18" s="326" t="s">
        <v>512</v>
      </c>
      <c r="M18" s="327"/>
      <c r="N18" s="328"/>
      <c r="O18" s="320"/>
      <c r="P18" s="346"/>
      <c r="Q18" s="312"/>
      <c r="R18" s="347" t="s">
        <v>526</v>
      </c>
      <c r="S18" s="314"/>
      <c r="T18" s="314"/>
      <c r="U18" s="314"/>
      <c r="V18" s="315"/>
      <c r="W18" s="325">
        <v>14.4</v>
      </c>
      <c r="X18" s="326" t="s">
        <v>512</v>
      </c>
      <c r="Y18" s="327"/>
      <c r="Z18" s="325">
        <f>14.4*0.75</f>
        <v>10.8</v>
      </c>
      <c r="AA18" s="326" t="s">
        <v>512</v>
      </c>
      <c r="AB18" s="327"/>
      <c r="AC18" s="328" t="s">
        <v>528</v>
      </c>
    </row>
    <row r="19" spans="1:29" ht="12.75" customHeight="1" x14ac:dyDescent="0.15">
      <c r="A19" s="346"/>
      <c r="B19" s="312"/>
      <c r="C19" s="331" t="s">
        <v>60</v>
      </c>
      <c r="D19" s="314"/>
      <c r="E19" s="314"/>
      <c r="F19" s="314"/>
      <c r="G19" s="315"/>
      <c r="H19" s="332">
        <v>0.8</v>
      </c>
      <c r="I19" s="331" t="s">
        <v>512</v>
      </c>
      <c r="J19" s="333"/>
      <c r="K19" s="332">
        <f>0.8*0.75</f>
        <v>0.60000000000000009</v>
      </c>
      <c r="L19" s="331" t="s">
        <v>512</v>
      </c>
      <c r="M19" s="333"/>
      <c r="N19" s="334"/>
      <c r="O19" s="320"/>
      <c r="P19" s="346"/>
      <c r="Q19" s="312"/>
      <c r="R19" s="326" t="s">
        <v>123</v>
      </c>
      <c r="S19" s="314"/>
      <c r="T19" s="314"/>
      <c r="U19" s="314"/>
      <c r="V19" s="315"/>
      <c r="W19" s="325">
        <v>8.9</v>
      </c>
      <c r="X19" s="326" t="s">
        <v>512</v>
      </c>
      <c r="Y19" s="327"/>
      <c r="Z19" s="325">
        <f>8.9*0.75</f>
        <v>6.6750000000000007</v>
      </c>
      <c r="AA19" s="326" t="s">
        <v>512</v>
      </c>
      <c r="AB19" s="327"/>
      <c r="AC19" s="348"/>
    </row>
    <row r="20" spans="1:29" ht="12.75" customHeight="1" x14ac:dyDescent="0.15">
      <c r="A20" s="311">
        <v>5</v>
      </c>
      <c r="B20" s="312" t="s">
        <v>455</v>
      </c>
      <c r="C20" s="349" t="s">
        <v>135</v>
      </c>
      <c r="D20" s="314" t="s">
        <v>529</v>
      </c>
      <c r="E20" s="314" t="s">
        <v>530</v>
      </c>
      <c r="F20" s="314" t="s">
        <v>531</v>
      </c>
      <c r="G20" s="315"/>
      <c r="H20" s="316">
        <v>412</v>
      </c>
      <c r="I20" s="313" t="s">
        <v>510</v>
      </c>
      <c r="J20" s="318" t="s">
        <v>532</v>
      </c>
      <c r="K20" s="316">
        <f>412*0.75</f>
        <v>309</v>
      </c>
      <c r="L20" s="313" t="s">
        <v>510</v>
      </c>
      <c r="M20" s="318" t="s">
        <v>532</v>
      </c>
      <c r="N20" s="319" t="s">
        <v>47</v>
      </c>
      <c r="O20" s="320"/>
      <c r="P20" s="346"/>
      <c r="Q20" s="312"/>
      <c r="R20" s="326" t="s">
        <v>127</v>
      </c>
      <c r="S20" s="314"/>
      <c r="T20" s="314"/>
      <c r="U20" s="314"/>
      <c r="V20" s="315"/>
      <c r="W20" s="325">
        <v>64.099999999999994</v>
      </c>
      <c r="X20" s="326" t="s">
        <v>512</v>
      </c>
      <c r="Y20" s="327"/>
      <c r="Z20" s="325">
        <f>64.1*0.75</f>
        <v>48.074999999999996</v>
      </c>
      <c r="AA20" s="326" t="s">
        <v>512</v>
      </c>
      <c r="AB20" s="327"/>
      <c r="AC20" s="328"/>
    </row>
    <row r="21" spans="1:29" ht="12.75" customHeight="1" x14ac:dyDescent="0.15">
      <c r="A21" s="346"/>
      <c r="B21" s="312"/>
      <c r="C21" s="326" t="s">
        <v>374</v>
      </c>
      <c r="D21" s="314"/>
      <c r="E21" s="314"/>
      <c r="F21" s="314"/>
      <c r="G21" s="315"/>
      <c r="H21" s="325">
        <v>18.599999999999998</v>
      </c>
      <c r="I21" s="326" t="s">
        <v>512</v>
      </c>
      <c r="J21" s="327"/>
      <c r="K21" s="325">
        <f>18.6*0.75</f>
        <v>13.950000000000001</v>
      </c>
      <c r="L21" s="326" t="s">
        <v>512</v>
      </c>
      <c r="M21" s="327"/>
      <c r="N21" s="328" t="s">
        <v>533</v>
      </c>
      <c r="O21" s="320"/>
      <c r="P21" s="346"/>
      <c r="Q21" s="312"/>
      <c r="R21" s="331" t="s">
        <v>60</v>
      </c>
      <c r="S21" s="314"/>
      <c r="T21" s="314"/>
      <c r="U21" s="314"/>
      <c r="V21" s="315"/>
      <c r="W21" s="332">
        <v>0.79999999999999993</v>
      </c>
      <c r="X21" s="331" t="s">
        <v>512</v>
      </c>
      <c r="Y21" s="333"/>
      <c r="Z21" s="332">
        <f>0.8*0.75</f>
        <v>0.60000000000000009</v>
      </c>
      <c r="AA21" s="331" t="s">
        <v>512</v>
      </c>
      <c r="AB21" s="333"/>
      <c r="AC21" s="334"/>
    </row>
    <row r="22" spans="1:29" ht="12.75" customHeight="1" x14ac:dyDescent="0.15">
      <c r="A22" s="346"/>
      <c r="B22" s="312"/>
      <c r="C22" s="326" t="s">
        <v>127</v>
      </c>
      <c r="D22" s="314"/>
      <c r="E22" s="314"/>
      <c r="F22" s="314"/>
      <c r="G22" s="315"/>
      <c r="H22" s="325">
        <v>17</v>
      </c>
      <c r="I22" s="326" t="s">
        <v>512</v>
      </c>
      <c r="J22" s="327"/>
      <c r="K22" s="325">
        <f>17*0.75</f>
        <v>12.75</v>
      </c>
      <c r="L22" s="326" t="s">
        <v>512</v>
      </c>
      <c r="M22" s="327"/>
      <c r="N22" s="328" t="s">
        <v>534</v>
      </c>
      <c r="O22" s="320"/>
      <c r="P22" s="321">
        <v>19</v>
      </c>
      <c r="Q22" s="321" t="s">
        <v>455</v>
      </c>
      <c r="R22" s="349" t="s">
        <v>135</v>
      </c>
      <c r="S22" s="314" t="s">
        <v>535</v>
      </c>
      <c r="T22" s="314" t="s">
        <v>530</v>
      </c>
      <c r="U22" s="314" t="s">
        <v>531</v>
      </c>
      <c r="V22" s="315"/>
      <c r="W22" s="316">
        <v>412</v>
      </c>
      <c r="X22" s="313" t="s">
        <v>510</v>
      </c>
      <c r="Y22" s="318" t="s">
        <v>532</v>
      </c>
      <c r="Z22" s="316">
        <f>412*0.75</f>
        <v>309</v>
      </c>
      <c r="AA22" s="313" t="s">
        <v>510</v>
      </c>
      <c r="AB22" s="318" t="s">
        <v>532</v>
      </c>
      <c r="AC22" s="319" t="s">
        <v>47</v>
      </c>
    </row>
    <row r="23" spans="1:29" ht="12.75" customHeight="1" x14ac:dyDescent="0.15">
      <c r="A23" s="346"/>
      <c r="B23" s="312"/>
      <c r="C23" s="326"/>
      <c r="D23" s="314"/>
      <c r="E23" s="314"/>
      <c r="F23" s="314"/>
      <c r="G23" s="315"/>
      <c r="H23" s="325">
        <v>44.600000000000009</v>
      </c>
      <c r="I23" s="326" t="s">
        <v>512</v>
      </c>
      <c r="J23" s="327"/>
      <c r="K23" s="325">
        <f>44.6*0.75</f>
        <v>33.450000000000003</v>
      </c>
      <c r="L23" s="326" t="s">
        <v>512</v>
      </c>
      <c r="M23" s="327"/>
      <c r="N23" s="328"/>
      <c r="O23" s="320"/>
      <c r="P23" s="321"/>
      <c r="Q23" s="321"/>
      <c r="R23" s="326" t="s">
        <v>374</v>
      </c>
      <c r="S23" s="314"/>
      <c r="T23" s="314"/>
      <c r="U23" s="314"/>
      <c r="V23" s="315"/>
      <c r="W23" s="325">
        <v>18.599999999999998</v>
      </c>
      <c r="X23" s="326" t="s">
        <v>512</v>
      </c>
      <c r="Y23" s="327"/>
      <c r="Z23" s="325">
        <f>18.6*0.75</f>
        <v>13.950000000000001</v>
      </c>
      <c r="AA23" s="326" t="s">
        <v>512</v>
      </c>
      <c r="AB23" s="327"/>
      <c r="AC23" s="328" t="s">
        <v>536</v>
      </c>
    </row>
    <row r="24" spans="1:29" ht="12.75" customHeight="1" x14ac:dyDescent="0.15">
      <c r="A24" s="346"/>
      <c r="B24" s="312"/>
      <c r="C24" s="331"/>
      <c r="D24" s="314"/>
      <c r="E24" s="314"/>
      <c r="F24" s="314"/>
      <c r="G24" s="315"/>
      <c r="H24" s="332">
        <v>1.4</v>
      </c>
      <c r="I24" s="331" t="s">
        <v>512</v>
      </c>
      <c r="J24" s="333"/>
      <c r="K24" s="332">
        <f>1.4*0.75</f>
        <v>1.0499999999999998</v>
      </c>
      <c r="L24" s="331" t="s">
        <v>512</v>
      </c>
      <c r="M24" s="333"/>
      <c r="N24" s="334"/>
      <c r="O24" s="320"/>
      <c r="P24" s="321"/>
      <c r="Q24" s="321"/>
      <c r="R24" s="326" t="s">
        <v>127</v>
      </c>
      <c r="S24" s="314"/>
      <c r="T24" s="314"/>
      <c r="U24" s="314"/>
      <c r="V24" s="315"/>
      <c r="W24" s="325">
        <v>17</v>
      </c>
      <c r="X24" s="326" t="s">
        <v>512</v>
      </c>
      <c r="Y24" s="327"/>
      <c r="Z24" s="325">
        <f>17*0.75</f>
        <v>12.75</v>
      </c>
      <c r="AA24" s="326" t="s">
        <v>512</v>
      </c>
      <c r="AB24" s="327"/>
      <c r="AC24" s="328" t="s">
        <v>537</v>
      </c>
    </row>
    <row r="25" spans="1:29" ht="12.75" customHeight="1" x14ac:dyDescent="0.15">
      <c r="A25" s="321">
        <v>6</v>
      </c>
      <c r="B25" s="312" t="s">
        <v>459</v>
      </c>
      <c r="C25" s="317" t="s">
        <v>23</v>
      </c>
      <c r="D25" s="314" t="s">
        <v>538</v>
      </c>
      <c r="E25" s="314" t="s">
        <v>539</v>
      </c>
      <c r="F25" s="314" t="s">
        <v>540</v>
      </c>
      <c r="G25" s="315"/>
      <c r="H25" s="316">
        <v>366</v>
      </c>
      <c r="I25" s="313" t="s">
        <v>510</v>
      </c>
      <c r="J25" s="318" t="s">
        <v>27</v>
      </c>
      <c r="K25" s="316">
        <f>366*0.75</f>
        <v>274.5</v>
      </c>
      <c r="L25" s="313" t="s">
        <v>510</v>
      </c>
      <c r="M25" s="318" t="s">
        <v>27</v>
      </c>
      <c r="N25" s="319" t="s">
        <v>47</v>
      </c>
      <c r="O25" s="320"/>
      <c r="P25" s="321"/>
      <c r="Q25" s="321"/>
      <c r="R25" s="326"/>
      <c r="S25" s="314"/>
      <c r="T25" s="314"/>
      <c r="U25" s="314"/>
      <c r="V25" s="315"/>
      <c r="W25" s="325">
        <v>44.600000000000009</v>
      </c>
      <c r="X25" s="326" t="s">
        <v>512</v>
      </c>
      <c r="Y25" s="327"/>
      <c r="Z25" s="325">
        <f>44.6*0.75</f>
        <v>33.450000000000003</v>
      </c>
      <c r="AA25" s="326" t="s">
        <v>512</v>
      </c>
      <c r="AB25" s="327"/>
      <c r="AC25" s="328"/>
    </row>
    <row r="26" spans="1:29" ht="12.75" customHeight="1" x14ac:dyDescent="0.15">
      <c r="A26" s="329"/>
      <c r="B26" s="312"/>
      <c r="C26" s="347" t="s">
        <v>149</v>
      </c>
      <c r="D26" s="314"/>
      <c r="E26" s="314"/>
      <c r="F26" s="314"/>
      <c r="G26" s="315"/>
      <c r="H26" s="325">
        <v>9.2999999999999989</v>
      </c>
      <c r="I26" s="326" t="s">
        <v>512</v>
      </c>
      <c r="J26" s="327"/>
      <c r="K26" s="325">
        <f>9.3*0.75</f>
        <v>6.9750000000000005</v>
      </c>
      <c r="L26" s="326" t="s">
        <v>512</v>
      </c>
      <c r="M26" s="327"/>
      <c r="N26" s="328" t="s">
        <v>536</v>
      </c>
      <c r="O26" s="320"/>
      <c r="P26" s="321"/>
      <c r="Q26" s="321"/>
      <c r="R26" s="331"/>
      <c r="S26" s="314"/>
      <c r="T26" s="314"/>
      <c r="U26" s="314"/>
      <c r="V26" s="315"/>
      <c r="W26" s="332">
        <v>1.4</v>
      </c>
      <c r="X26" s="331" t="s">
        <v>512</v>
      </c>
      <c r="Y26" s="333"/>
      <c r="Z26" s="332">
        <f>1.4*0.75</f>
        <v>1.0499999999999998</v>
      </c>
      <c r="AA26" s="331" t="s">
        <v>512</v>
      </c>
      <c r="AB26" s="333"/>
      <c r="AC26" s="334"/>
    </row>
    <row r="27" spans="1:29" ht="12.75" customHeight="1" x14ac:dyDescent="0.15">
      <c r="A27" s="329"/>
      <c r="B27" s="312"/>
      <c r="C27" s="326" t="s">
        <v>153</v>
      </c>
      <c r="D27" s="314"/>
      <c r="E27" s="314"/>
      <c r="F27" s="314"/>
      <c r="G27" s="315"/>
      <c r="H27" s="325">
        <v>10.199999999999999</v>
      </c>
      <c r="I27" s="326" t="s">
        <v>512</v>
      </c>
      <c r="J27" s="327"/>
      <c r="K27" s="325">
        <f>10.2*0.75</f>
        <v>7.6499999999999995</v>
      </c>
      <c r="L27" s="326" t="s">
        <v>512</v>
      </c>
      <c r="M27" s="327"/>
      <c r="N27" s="328" t="s">
        <v>537</v>
      </c>
      <c r="O27" s="320"/>
      <c r="P27" s="321">
        <v>20</v>
      </c>
      <c r="Q27" s="321" t="s">
        <v>459</v>
      </c>
      <c r="R27" s="317" t="s">
        <v>23</v>
      </c>
      <c r="S27" s="314" t="s">
        <v>541</v>
      </c>
      <c r="T27" s="314" t="s">
        <v>539</v>
      </c>
      <c r="U27" s="314" t="s">
        <v>542</v>
      </c>
      <c r="V27" s="315"/>
      <c r="W27" s="316">
        <v>367</v>
      </c>
      <c r="X27" s="313" t="s">
        <v>510</v>
      </c>
      <c r="Y27" s="318" t="s">
        <v>27</v>
      </c>
      <c r="Z27" s="316">
        <f>367*0.75</f>
        <v>275.25</v>
      </c>
      <c r="AA27" s="313" t="s">
        <v>510</v>
      </c>
      <c r="AB27" s="318" t="s">
        <v>27</v>
      </c>
      <c r="AC27" s="319" t="s">
        <v>47</v>
      </c>
    </row>
    <row r="28" spans="1:29" ht="12.75" customHeight="1" x14ac:dyDescent="0.15">
      <c r="A28" s="329"/>
      <c r="B28" s="312"/>
      <c r="C28" s="326" t="s">
        <v>58</v>
      </c>
      <c r="D28" s="314"/>
      <c r="E28" s="314"/>
      <c r="F28" s="314"/>
      <c r="G28" s="315"/>
      <c r="H28" s="325">
        <v>57.899999999999991</v>
      </c>
      <c r="I28" s="326" t="s">
        <v>512</v>
      </c>
      <c r="J28" s="327"/>
      <c r="K28" s="325">
        <f>57.9*0.75</f>
        <v>43.424999999999997</v>
      </c>
      <c r="L28" s="326" t="s">
        <v>512</v>
      </c>
      <c r="M28" s="327"/>
      <c r="N28" s="328"/>
      <c r="O28" s="320"/>
      <c r="P28" s="321"/>
      <c r="Q28" s="321"/>
      <c r="R28" s="347" t="s">
        <v>149</v>
      </c>
      <c r="S28" s="314"/>
      <c r="T28" s="314"/>
      <c r="U28" s="314"/>
      <c r="V28" s="315"/>
      <c r="W28" s="325">
        <v>9.5999999999999979</v>
      </c>
      <c r="X28" s="326" t="s">
        <v>512</v>
      </c>
      <c r="Y28" s="327"/>
      <c r="Z28" s="325">
        <f>9.6*0.75</f>
        <v>7.1999999999999993</v>
      </c>
      <c r="AA28" s="326" t="s">
        <v>512</v>
      </c>
      <c r="AB28" s="327"/>
      <c r="AC28" s="328" t="s">
        <v>543</v>
      </c>
    </row>
    <row r="29" spans="1:29" ht="12.75" customHeight="1" x14ac:dyDescent="0.15">
      <c r="A29" s="329"/>
      <c r="B29" s="312"/>
      <c r="C29" s="331" t="s">
        <v>158</v>
      </c>
      <c r="D29" s="314"/>
      <c r="E29" s="314"/>
      <c r="F29" s="314"/>
      <c r="G29" s="315"/>
      <c r="H29" s="332">
        <v>0.8</v>
      </c>
      <c r="I29" s="331" t="s">
        <v>512</v>
      </c>
      <c r="J29" s="333"/>
      <c r="K29" s="332">
        <f>0.8*0.75</f>
        <v>0.60000000000000009</v>
      </c>
      <c r="L29" s="331" t="s">
        <v>512</v>
      </c>
      <c r="M29" s="333"/>
      <c r="N29" s="334" t="s">
        <v>544</v>
      </c>
      <c r="O29" s="320"/>
      <c r="P29" s="321"/>
      <c r="Q29" s="321"/>
      <c r="R29" s="326" t="s">
        <v>220</v>
      </c>
      <c r="S29" s="314"/>
      <c r="T29" s="314"/>
      <c r="U29" s="314"/>
      <c r="V29" s="315"/>
      <c r="W29" s="325">
        <v>10.199999999999999</v>
      </c>
      <c r="X29" s="326" t="s">
        <v>512</v>
      </c>
      <c r="Y29" s="327"/>
      <c r="Z29" s="325">
        <f>10.2*0.75</f>
        <v>7.6499999999999995</v>
      </c>
      <c r="AA29" s="326" t="s">
        <v>512</v>
      </c>
      <c r="AB29" s="327"/>
      <c r="AC29" s="328" t="s">
        <v>534</v>
      </c>
    </row>
    <row r="30" spans="1:29" ht="12.75" customHeight="1" x14ac:dyDescent="0.15">
      <c r="A30" s="336"/>
      <c r="B30" s="337"/>
      <c r="C30" s="337"/>
      <c r="D30" s="337"/>
      <c r="E30" s="337"/>
      <c r="F30" s="337"/>
      <c r="G30" s="337"/>
      <c r="H30" s="337"/>
      <c r="I30" s="337"/>
      <c r="J30" s="337"/>
      <c r="K30" s="337"/>
      <c r="L30" s="337"/>
      <c r="M30" s="337"/>
      <c r="N30" s="338"/>
      <c r="O30" s="320"/>
      <c r="P30" s="321"/>
      <c r="Q30" s="321"/>
      <c r="R30" s="326" t="s">
        <v>58</v>
      </c>
      <c r="S30" s="314"/>
      <c r="T30" s="314"/>
      <c r="U30" s="314"/>
      <c r="V30" s="315"/>
      <c r="W30" s="325">
        <v>57.699999999999996</v>
      </c>
      <c r="X30" s="326" t="s">
        <v>512</v>
      </c>
      <c r="Y30" s="327"/>
      <c r="Z30" s="325">
        <f>57.7*0.75</f>
        <v>43.275000000000006</v>
      </c>
      <c r="AA30" s="326" t="s">
        <v>512</v>
      </c>
      <c r="AB30" s="327"/>
      <c r="AC30" s="328"/>
    </row>
    <row r="31" spans="1:29" ht="12.75" customHeight="1" x14ac:dyDescent="0.15">
      <c r="A31" s="340"/>
      <c r="B31" s="341"/>
      <c r="C31" s="341"/>
      <c r="D31" s="341"/>
      <c r="E31" s="341"/>
      <c r="F31" s="341"/>
      <c r="G31" s="341"/>
      <c r="H31" s="341"/>
      <c r="I31" s="341"/>
      <c r="J31" s="341"/>
      <c r="K31" s="341"/>
      <c r="L31" s="341"/>
      <c r="M31" s="341"/>
      <c r="N31" s="342"/>
      <c r="O31" s="320"/>
      <c r="P31" s="321"/>
      <c r="Q31" s="321"/>
      <c r="R31" s="331" t="s">
        <v>82</v>
      </c>
      <c r="S31" s="314"/>
      <c r="T31" s="314"/>
      <c r="U31" s="314"/>
      <c r="V31" s="315"/>
      <c r="W31" s="332">
        <v>0.8</v>
      </c>
      <c r="X31" s="331" t="s">
        <v>512</v>
      </c>
      <c r="Y31" s="333"/>
      <c r="Z31" s="332">
        <f>0.8*0.75</f>
        <v>0.60000000000000009</v>
      </c>
      <c r="AA31" s="331" t="s">
        <v>512</v>
      </c>
      <c r="AB31" s="333"/>
      <c r="AC31" s="334"/>
    </row>
    <row r="32" spans="1:29" ht="12.75" customHeight="1" x14ac:dyDescent="0.15">
      <c r="A32" s="343"/>
      <c r="B32" s="344"/>
      <c r="C32" s="344"/>
      <c r="D32" s="344"/>
      <c r="E32" s="344"/>
      <c r="F32" s="344"/>
      <c r="G32" s="344"/>
      <c r="H32" s="344"/>
      <c r="I32" s="344"/>
      <c r="J32" s="344"/>
      <c r="K32" s="344"/>
      <c r="L32" s="344"/>
      <c r="M32" s="344"/>
      <c r="N32" s="345"/>
      <c r="O32" s="320"/>
      <c r="P32" s="336"/>
      <c r="Q32" s="337"/>
      <c r="R32" s="337"/>
      <c r="S32" s="337"/>
      <c r="T32" s="337"/>
      <c r="U32" s="337"/>
      <c r="V32" s="337"/>
      <c r="W32" s="337"/>
      <c r="X32" s="337"/>
      <c r="Y32" s="337"/>
      <c r="Z32" s="337"/>
      <c r="AA32" s="337"/>
      <c r="AB32" s="337"/>
      <c r="AC32" s="338"/>
    </row>
    <row r="33" spans="1:29" ht="12.75" customHeight="1" x14ac:dyDescent="0.15">
      <c r="A33" s="321">
        <v>9</v>
      </c>
      <c r="B33" s="312" t="s">
        <v>442</v>
      </c>
      <c r="C33" s="317" t="s">
        <v>167</v>
      </c>
      <c r="D33" s="314" t="s">
        <v>545</v>
      </c>
      <c r="E33" s="314" t="s">
        <v>546</v>
      </c>
      <c r="F33" s="314" t="s">
        <v>547</v>
      </c>
      <c r="G33" s="315"/>
      <c r="H33" s="316">
        <v>452</v>
      </c>
      <c r="I33" s="313" t="s">
        <v>510</v>
      </c>
      <c r="J33" s="318" t="s">
        <v>129</v>
      </c>
      <c r="K33" s="316">
        <f>452*0.75</f>
        <v>339</v>
      </c>
      <c r="L33" s="313" t="s">
        <v>510</v>
      </c>
      <c r="M33" s="318" t="s">
        <v>129</v>
      </c>
      <c r="N33" s="319" t="s">
        <v>47</v>
      </c>
      <c r="O33" s="320"/>
      <c r="P33" s="340"/>
      <c r="Q33" s="341"/>
      <c r="R33" s="341"/>
      <c r="S33" s="341"/>
      <c r="T33" s="341"/>
      <c r="U33" s="341"/>
      <c r="V33" s="341"/>
      <c r="W33" s="341"/>
      <c r="X33" s="341"/>
      <c r="Y33" s="341"/>
      <c r="Z33" s="341"/>
      <c r="AA33" s="341"/>
      <c r="AB33" s="341"/>
      <c r="AC33" s="342"/>
    </row>
    <row r="34" spans="1:29" ht="12.75" customHeight="1" x14ac:dyDescent="0.15">
      <c r="A34" s="329"/>
      <c r="B34" s="312"/>
      <c r="C34" s="350" t="s">
        <v>548</v>
      </c>
      <c r="D34" s="314"/>
      <c r="E34" s="314"/>
      <c r="F34" s="314"/>
      <c r="G34" s="315"/>
      <c r="H34" s="325">
        <v>13.1</v>
      </c>
      <c r="I34" s="326" t="s">
        <v>512</v>
      </c>
      <c r="J34" s="327"/>
      <c r="K34" s="325">
        <f>13.1*0.75</f>
        <v>9.8249999999999993</v>
      </c>
      <c r="L34" s="326" t="s">
        <v>512</v>
      </c>
      <c r="M34" s="327"/>
      <c r="N34" s="328" t="s">
        <v>549</v>
      </c>
      <c r="O34" s="320"/>
      <c r="P34" s="343"/>
      <c r="Q34" s="344"/>
      <c r="R34" s="344"/>
      <c r="S34" s="344"/>
      <c r="T34" s="344"/>
      <c r="U34" s="344"/>
      <c r="V34" s="344"/>
      <c r="W34" s="344"/>
      <c r="X34" s="344"/>
      <c r="Y34" s="344"/>
      <c r="Z34" s="344"/>
      <c r="AA34" s="344"/>
      <c r="AB34" s="344"/>
      <c r="AC34" s="345"/>
    </row>
    <row r="35" spans="1:29" ht="12.75" customHeight="1" x14ac:dyDescent="0.15">
      <c r="A35" s="329"/>
      <c r="B35" s="312"/>
      <c r="C35" s="326" t="s">
        <v>174</v>
      </c>
      <c r="D35" s="314"/>
      <c r="E35" s="314"/>
      <c r="F35" s="314"/>
      <c r="G35" s="315"/>
      <c r="H35" s="325">
        <v>13.7</v>
      </c>
      <c r="I35" s="326" t="s">
        <v>512</v>
      </c>
      <c r="J35" s="327"/>
      <c r="K35" s="325">
        <f>13.7*0.75</f>
        <v>10.274999999999999</v>
      </c>
      <c r="L35" s="326" t="s">
        <v>512</v>
      </c>
      <c r="M35" s="327"/>
      <c r="N35" s="328"/>
      <c r="O35" s="320"/>
      <c r="P35" s="321">
        <v>24</v>
      </c>
      <c r="Q35" s="321" t="s">
        <v>448</v>
      </c>
      <c r="R35" s="317" t="s">
        <v>23</v>
      </c>
      <c r="S35" s="314" t="s">
        <v>550</v>
      </c>
      <c r="T35" s="314" t="s">
        <v>551</v>
      </c>
      <c r="U35" s="314" t="s">
        <v>552</v>
      </c>
      <c r="V35" s="315"/>
      <c r="W35" s="316">
        <v>347</v>
      </c>
      <c r="X35" s="313" t="s">
        <v>510</v>
      </c>
      <c r="Y35" s="318" t="s">
        <v>27</v>
      </c>
      <c r="Z35" s="316">
        <f>347*0.75</f>
        <v>260.25</v>
      </c>
      <c r="AA35" s="313" t="s">
        <v>510</v>
      </c>
      <c r="AB35" s="318" t="s">
        <v>27</v>
      </c>
      <c r="AC35" s="319" t="s">
        <v>47</v>
      </c>
    </row>
    <row r="36" spans="1:29" ht="12.75" customHeight="1" x14ac:dyDescent="0.15">
      <c r="A36" s="329"/>
      <c r="B36" s="312"/>
      <c r="C36" s="326" t="s">
        <v>177</v>
      </c>
      <c r="D36" s="314"/>
      <c r="E36" s="314"/>
      <c r="F36" s="314"/>
      <c r="G36" s="315"/>
      <c r="H36" s="325">
        <v>66.899999999999991</v>
      </c>
      <c r="I36" s="326" t="s">
        <v>512</v>
      </c>
      <c r="J36" s="327"/>
      <c r="K36" s="325">
        <f>66.9*0.75</f>
        <v>50.175000000000004</v>
      </c>
      <c r="L36" s="326" t="s">
        <v>512</v>
      </c>
      <c r="M36" s="327"/>
      <c r="N36" s="328"/>
      <c r="O36" s="320"/>
      <c r="P36" s="321"/>
      <c r="Q36" s="321"/>
      <c r="R36" s="347" t="s">
        <v>553</v>
      </c>
      <c r="S36" s="314"/>
      <c r="T36" s="314"/>
      <c r="U36" s="314"/>
      <c r="V36" s="315"/>
      <c r="W36" s="325">
        <v>10.8</v>
      </c>
      <c r="X36" s="326" t="s">
        <v>512</v>
      </c>
      <c r="Y36" s="327"/>
      <c r="Z36" s="325">
        <f>10.8*0.75</f>
        <v>8.1000000000000014</v>
      </c>
      <c r="AA36" s="326" t="s">
        <v>512</v>
      </c>
      <c r="AB36" s="327"/>
      <c r="AC36" s="328" t="s">
        <v>554</v>
      </c>
    </row>
    <row r="37" spans="1:29" ht="12.75" customHeight="1" x14ac:dyDescent="0.15">
      <c r="A37" s="329"/>
      <c r="B37" s="312"/>
      <c r="C37" s="331"/>
      <c r="D37" s="314"/>
      <c r="E37" s="314"/>
      <c r="F37" s="314"/>
      <c r="G37" s="315"/>
      <c r="H37" s="332">
        <v>1.4000000000000001</v>
      </c>
      <c r="I37" s="331" t="s">
        <v>512</v>
      </c>
      <c r="J37" s="333"/>
      <c r="K37" s="332">
        <f>1.4*0.75</f>
        <v>1.0499999999999998</v>
      </c>
      <c r="L37" s="331" t="s">
        <v>512</v>
      </c>
      <c r="M37" s="333"/>
      <c r="N37" s="334"/>
      <c r="O37" s="320"/>
      <c r="P37" s="321"/>
      <c r="Q37" s="321"/>
      <c r="R37" s="326" t="s">
        <v>555</v>
      </c>
      <c r="S37" s="314"/>
      <c r="T37" s="314"/>
      <c r="U37" s="314"/>
      <c r="V37" s="315"/>
      <c r="W37" s="325">
        <v>6.8</v>
      </c>
      <c r="X37" s="326" t="s">
        <v>512</v>
      </c>
      <c r="Y37" s="327"/>
      <c r="Z37" s="325">
        <f>6.8*0.75</f>
        <v>5.0999999999999996</v>
      </c>
      <c r="AA37" s="326" t="s">
        <v>512</v>
      </c>
      <c r="AB37" s="327"/>
      <c r="AC37" s="328"/>
    </row>
    <row r="38" spans="1:29" ht="12.75" customHeight="1" x14ac:dyDescent="0.15">
      <c r="A38" s="321">
        <v>10</v>
      </c>
      <c r="B38" s="312" t="s">
        <v>448</v>
      </c>
      <c r="C38" s="317" t="s">
        <v>23</v>
      </c>
      <c r="D38" s="314" t="s">
        <v>550</v>
      </c>
      <c r="E38" s="314" t="s">
        <v>551</v>
      </c>
      <c r="F38" s="314" t="s">
        <v>556</v>
      </c>
      <c r="G38" s="315"/>
      <c r="H38" s="316">
        <v>350</v>
      </c>
      <c r="I38" s="313" t="s">
        <v>510</v>
      </c>
      <c r="J38" s="318" t="s">
        <v>27</v>
      </c>
      <c r="K38" s="316">
        <f>350*0.75</f>
        <v>262.5</v>
      </c>
      <c r="L38" s="313" t="s">
        <v>510</v>
      </c>
      <c r="M38" s="318" t="s">
        <v>27</v>
      </c>
      <c r="N38" s="319" t="s">
        <v>47</v>
      </c>
      <c r="O38" s="320"/>
      <c r="P38" s="321"/>
      <c r="Q38" s="321"/>
      <c r="R38" s="326" t="s">
        <v>58</v>
      </c>
      <c r="S38" s="314"/>
      <c r="T38" s="314"/>
      <c r="U38" s="314"/>
      <c r="V38" s="315"/>
      <c r="W38" s="325">
        <v>58.800000000000011</v>
      </c>
      <c r="X38" s="326" t="s">
        <v>512</v>
      </c>
      <c r="Y38" s="327"/>
      <c r="Z38" s="325">
        <f>58.8*0.75</f>
        <v>44.099999999999994</v>
      </c>
      <c r="AA38" s="326" t="s">
        <v>512</v>
      </c>
      <c r="AB38" s="327"/>
      <c r="AC38" s="328"/>
    </row>
    <row r="39" spans="1:29" ht="12.75" customHeight="1" x14ac:dyDescent="0.15">
      <c r="A39" s="329"/>
      <c r="B39" s="312"/>
      <c r="C39" s="347" t="s">
        <v>553</v>
      </c>
      <c r="D39" s="314"/>
      <c r="E39" s="314"/>
      <c r="F39" s="314"/>
      <c r="G39" s="315"/>
      <c r="H39" s="325">
        <v>11.000000000000002</v>
      </c>
      <c r="I39" s="326" t="s">
        <v>512</v>
      </c>
      <c r="J39" s="327"/>
      <c r="K39" s="325">
        <f>11*0.75</f>
        <v>8.25</v>
      </c>
      <c r="L39" s="326" t="s">
        <v>512</v>
      </c>
      <c r="M39" s="327"/>
      <c r="N39" s="328" t="s">
        <v>554</v>
      </c>
      <c r="O39" s="320"/>
      <c r="P39" s="321"/>
      <c r="Q39" s="321"/>
      <c r="R39" s="331" t="s">
        <v>164</v>
      </c>
      <c r="S39" s="314"/>
      <c r="T39" s="314"/>
      <c r="U39" s="314"/>
      <c r="V39" s="315"/>
      <c r="W39" s="332">
        <v>1</v>
      </c>
      <c r="X39" s="331" t="s">
        <v>512</v>
      </c>
      <c r="Y39" s="333"/>
      <c r="Z39" s="332">
        <f>1*0.75</f>
        <v>0.75</v>
      </c>
      <c r="AA39" s="331" t="s">
        <v>512</v>
      </c>
      <c r="AB39" s="333"/>
      <c r="AC39" s="334"/>
    </row>
    <row r="40" spans="1:29" ht="12.75" customHeight="1" x14ac:dyDescent="0.15">
      <c r="A40" s="329"/>
      <c r="B40" s="312"/>
      <c r="C40" s="326" t="s">
        <v>181</v>
      </c>
      <c r="D40" s="314"/>
      <c r="E40" s="314"/>
      <c r="F40" s="314"/>
      <c r="G40" s="315"/>
      <c r="H40" s="325">
        <v>6.8999999999999995</v>
      </c>
      <c r="I40" s="326" t="s">
        <v>512</v>
      </c>
      <c r="J40" s="327"/>
      <c r="K40" s="325">
        <f>6.9*0.75</f>
        <v>5.1750000000000007</v>
      </c>
      <c r="L40" s="326" t="s">
        <v>512</v>
      </c>
      <c r="M40" s="327"/>
      <c r="N40" s="328"/>
      <c r="O40" s="320"/>
      <c r="P40" s="321">
        <v>25</v>
      </c>
      <c r="Q40" s="321" t="s">
        <v>55</v>
      </c>
      <c r="R40" s="351" t="s">
        <v>183</v>
      </c>
      <c r="S40" s="314" t="s">
        <v>557</v>
      </c>
      <c r="T40" s="314" t="s">
        <v>558</v>
      </c>
      <c r="U40" s="314" t="s">
        <v>559</v>
      </c>
      <c r="V40" s="315"/>
      <c r="W40" s="316">
        <v>347</v>
      </c>
      <c r="X40" s="313" t="s">
        <v>510</v>
      </c>
      <c r="Y40" s="318" t="s">
        <v>560</v>
      </c>
      <c r="Z40" s="316">
        <f>347*0.75</f>
        <v>260.25</v>
      </c>
      <c r="AA40" s="313" t="s">
        <v>510</v>
      </c>
      <c r="AB40" s="318" t="s">
        <v>560</v>
      </c>
      <c r="AC40" s="319" t="s">
        <v>47</v>
      </c>
    </row>
    <row r="41" spans="1:29" ht="12.75" customHeight="1" x14ac:dyDescent="0.15">
      <c r="A41" s="329"/>
      <c r="B41" s="312"/>
      <c r="C41" s="326" t="s">
        <v>58</v>
      </c>
      <c r="D41" s="314"/>
      <c r="E41" s="314"/>
      <c r="F41" s="314"/>
      <c r="G41" s="315"/>
      <c r="H41" s="325">
        <v>59.800000000000004</v>
      </c>
      <c r="I41" s="326" t="s">
        <v>512</v>
      </c>
      <c r="J41" s="327"/>
      <c r="K41" s="325">
        <f>59.8*0.75</f>
        <v>44.849999999999994</v>
      </c>
      <c r="L41" s="326" t="s">
        <v>512</v>
      </c>
      <c r="M41" s="327"/>
      <c r="N41" s="328"/>
      <c r="O41" s="320"/>
      <c r="P41" s="321"/>
      <c r="Q41" s="321"/>
      <c r="R41" s="326" t="s">
        <v>561</v>
      </c>
      <c r="S41" s="314"/>
      <c r="T41" s="314"/>
      <c r="U41" s="314"/>
      <c r="V41" s="315"/>
      <c r="W41" s="325">
        <v>13.599999999999996</v>
      </c>
      <c r="X41" s="326" t="s">
        <v>512</v>
      </c>
      <c r="Y41" s="327"/>
      <c r="Z41" s="325">
        <f>13.6*0.75</f>
        <v>10.199999999999999</v>
      </c>
      <c r="AA41" s="326" t="s">
        <v>512</v>
      </c>
      <c r="AB41" s="327"/>
      <c r="AC41" s="328" t="s">
        <v>562</v>
      </c>
    </row>
    <row r="42" spans="1:29" ht="12.75" customHeight="1" x14ac:dyDescent="0.15">
      <c r="A42" s="329"/>
      <c r="B42" s="312"/>
      <c r="C42" s="331" t="s">
        <v>103</v>
      </c>
      <c r="D42" s="314"/>
      <c r="E42" s="314"/>
      <c r="F42" s="314"/>
      <c r="G42" s="315"/>
      <c r="H42" s="332">
        <v>1</v>
      </c>
      <c r="I42" s="331" t="s">
        <v>512</v>
      </c>
      <c r="J42" s="333"/>
      <c r="K42" s="332">
        <f>1*0.75</f>
        <v>0.75</v>
      </c>
      <c r="L42" s="331" t="s">
        <v>512</v>
      </c>
      <c r="M42" s="333"/>
      <c r="N42" s="334"/>
      <c r="O42" s="320"/>
      <c r="P42" s="321"/>
      <c r="Q42" s="321"/>
      <c r="R42" s="326" t="s">
        <v>112</v>
      </c>
      <c r="S42" s="314"/>
      <c r="T42" s="314"/>
      <c r="U42" s="314"/>
      <c r="V42" s="315"/>
      <c r="W42" s="325">
        <v>12.6</v>
      </c>
      <c r="X42" s="326" t="s">
        <v>512</v>
      </c>
      <c r="Y42" s="327"/>
      <c r="Z42" s="325">
        <f>12.6*0.75</f>
        <v>9.4499999999999993</v>
      </c>
      <c r="AA42" s="326" t="s">
        <v>512</v>
      </c>
      <c r="AB42" s="327"/>
      <c r="AC42" s="328"/>
    </row>
    <row r="43" spans="1:29" ht="12.75" customHeight="1" x14ac:dyDescent="0.15">
      <c r="A43" s="321">
        <v>11</v>
      </c>
      <c r="B43" s="312" t="s">
        <v>55</v>
      </c>
      <c r="C43" s="351" t="s">
        <v>183</v>
      </c>
      <c r="D43" s="314" t="s">
        <v>563</v>
      </c>
      <c r="E43" s="314" t="s">
        <v>564</v>
      </c>
      <c r="F43" s="314" t="s">
        <v>565</v>
      </c>
      <c r="G43" s="315"/>
      <c r="H43" s="316">
        <v>345</v>
      </c>
      <c r="I43" s="313" t="s">
        <v>510</v>
      </c>
      <c r="J43" s="318" t="s">
        <v>560</v>
      </c>
      <c r="K43" s="316">
        <f>345*0.75</f>
        <v>258.75</v>
      </c>
      <c r="L43" s="313" t="s">
        <v>510</v>
      </c>
      <c r="M43" s="318" t="s">
        <v>560</v>
      </c>
      <c r="N43" s="319" t="s">
        <v>47</v>
      </c>
      <c r="O43" s="320"/>
      <c r="P43" s="321"/>
      <c r="Q43" s="321"/>
      <c r="R43" s="326"/>
      <c r="S43" s="314"/>
      <c r="T43" s="314"/>
      <c r="U43" s="314"/>
      <c r="V43" s="315"/>
      <c r="W43" s="325">
        <v>44.000000000000007</v>
      </c>
      <c r="X43" s="326" t="s">
        <v>512</v>
      </c>
      <c r="Y43" s="327"/>
      <c r="Z43" s="325">
        <f>44*0.75</f>
        <v>33</v>
      </c>
      <c r="AA43" s="326" t="s">
        <v>512</v>
      </c>
      <c r="AB43" s="327"/>
      <c r="AC43" s="328"/>
    </row>
    <row r="44" spans="1:29" ht="12.75" customHeight="1" x14ac:dyDescent="0.15">
      <c r="A44" s="329"/>
      <c r="B44" s="312"/>
      <c r="C44" s="326" t="s">
        <v>189</v>
      </c>
      <c r="D44" s="314"/>
      <c r="E44" s="314"/>
      <c r="F44" s="314"/>
      <c r="G44" s="315"/>
      <c r="H44" s="325">
        <v>16.399999999999999</v>
      </c>
      <c r="I44" s="326" t="s">
        <v>512</v>
      </c>
      <c r="J44" s="327"/>
      <c r="K44" s="325">
        <f>16.4*0.75</f>
        <v>12.299999999999999</v>
      </c>
      <c r="L44" s="326" t="s">
        <v>512</v>
      </c>
      <c r="M44" s="327"/>
      <c r="N44" s="328" t="s">
        <v>562</v>
      </c>
      <c r="O44" s="320"/>
      <c r="P44" s="321"/>
      <c r="Q44" s="321"/>
      <c r="R44" s="331"/>
      <c r="S44" s="314"/>
      <c r="T44" s="314"/>
      <c r="U44" s="314"/>
      <c r="V44" s="315"/>
      <c r="W44" s="332">
        <v>2</v>
      </c>
      <c r="X44" s="331" t="s">
        <v>512</v>
      </c>
      <c r="Y44" s="333"/>
      <c r="Z44" s="332">
        <f>2*0.75</f>
        <v>1.5</v>
      </c>
      <c r="AA44" s="331" t="s">
        <v>512</v>
      </c>
      <c r="AB44" s="333"/>
      <c r="AC44" s="334"/>
    </row>
    <row r="45" spans="1:29" ht="12.75" customHeight="1" x14ac:dyDescent="0.15">
      <c r="A45" s="329"/>
      <c r="B45" s="312"/>
      <c r="C45" s="326" t="s">
        <v>158</v>
      </c>
      <c r="D45" s="314"/>
      <c r="E45" s="314"/>
      <c r="F45" s="314"/>
      <c r="G45" s="315"/>
      <c r="H45" s="325">
        <v>12.8</v>
      </c>
      <c r="I45" s="326" t="s">
        <v>512</v>
      </c>
      <c r="J45" s="327"/>
      <c r="K45" s="325">
        <f>12.8*0.75</f>
        <v>9.6000000000000014</v>
      </c>
      <c r="L45" s="326" t="s">
        <v>512</v>
      </c>
      <c r="M45" s="327"/>
      <c r="N45" s="328"/>
      <c r="O45" s="320"/>
      <c r="P45" s="321">
        <v>26</v>
      </c>
      <c r="Q45" s="321" t="s">
        <v>455</v>
      </c>
      <c r="R45" s="352" t="s">
        <v>566</v>
      </c>
      <c r="S45" s="314" t="s">
        <v>567</v>
      </c>
      <c r="T45" s="314" t="s">
        <v>568</v>
      </c>
      <c r="U45" s="314" t="s">
        <v>569</v>
      </c>
      <c r="V45" s="315"/>
      <c r="W45" s="316">
        <v>386</v>
      </c>
      <c r="X45" s="313" t="s">
        <v>510</v>
      </c>
      <c r="Y45" s="318" t="s">
        <v>532</v>
      </c>
      <c r="Z45" s="316">
        <f>386*0.75</f>
        <v>289.5</v>
      </c>
      <c r="AA45" s="313" t="s">
        <v>510</v>
      </c>
      <c r="AB45" s="318" t="s">
        <v>532</v>
      </c>
      <c r="AC45" s="319" t="s">
        <v>47</v>
      </c>
    </row>
    <row r="46" spans="1:29" ht="12.75" customHeight="1" x14ac:dyDescent="0.15">
      <c r="A46" s="329"/>
      <c r="B46" s="312"/>
      <c r="C46" s="326"/>
      <c r="D46" s="314"/>
      <c r="E46" s="314"/>
      <c r="F46" s="314"/>
      <c r="G46" s="315"/>
      <c r="H46" s="325">
        <v>41.300000000000004</v>
      </c>
      <c r="I46" s="326" t="s">
        <v>512</v>
      </c>
      <c r="J46" s="327"/>
      <c r="K46" s="325">
        <f>41.3*0.75</f>
        <v>30.974999999999998</v>
      </c>
      <c r="L46" s="326" t="s">
        <v>512</v>
      </c>
      <c r="M46" s="327"/>
      <c r="N46" s="328"/>
      <c r="O46" s="320"/>
      <c r="P46" s="321"/>
      <c r="Q46" s="321"/>
      <c r="R46" s="326" t="s">
        <v>201</v>
      </c>
      <c r="S46" s="314"/>
      <c r="T46" s="314"/>
      <c r="U46" s="314"/>
      <c r="V46" s="315"/>
      <c r="W46" s="325">
        <v>12.199999999999998</v>
      </c>
      <c r="X46" s="326" t="s">
        <v>512</v>
      </c>
      <c r="Y46" s="327"/>
      <c r="Z46" s="325">
        <f>12.2*0.75</f>
        <v>9.1499999999999986</v>
      </c>
      <c r="AA46" s="326" t="s">
        <v>512</v>
      </c>
      <c r="AB46" s="327"/>
      <c r="AC46" s="328" t="s">
        <v>570</v>
      </c>
    </row>
    <row r="47" spans="1:29" ht="12.75" customHeight="1" x14ac:dyDescent="0.15">
      <c r="A47" s="329"/>
      <c r="B47" s="312"/>
      <c r="C47" s="331"/>
      <c r="D47" s="314"/>
      <c r="E47" s="314"/>
      <c r="F47" s="314"/>
      <c r="G47" s="315"/>
      <c r="H47" s="332">
        <v>2.1</v>
      </c>
      <c r="I47" s="331" t="s">
        <v>512</v>
      </c>
      <c r="J47" s="333"/>
      <c r="K47" s="332">
        <f>2.1*0.75</f>
        <v>1.5750000000000002</v>
      </c>
      <c r="L47" s="331" t="s">
        <v>512</v>
      </c>
      <c r="M47" s="333"/>
      <c r="N47" s="334"/>
      <c r="O47" s="320"/>
      <c r="P47" s="321"/>
      <c r="Q47" s="321"/>
      <c r="R47" s="326" t="s">
        <v>127</v>
      </c>
      <c r="S47" s="314"/>
      <c r="T47" s="314"/>
      <c r="U47" s="314"/>
      <c r="V47" s="315"/>
      <c r="W47" s="325">
        <v>12.2</v>
      </c>
      <c r="X47" s="326" t="s">
        <v>512</v>
      </c>
      <c r="Y47" s="327"/>
      <c r="Z47" s="325">
        <f>12.2*0.75</f>
        <v>9.1499999999999986</v>
      </c>
      <c r="AA47" s="326" t="s">
        <v>512</v>
      </c>
      <c r="AB47" s="327"/>
      <c r="AC47" s="328"/>
    </row>
    <row r="48" spans="1:29" ht="12.75" customHeight="1" x14ac:dyDescent="0.15">
      <c r="A48" s="321">
        <v>12</v>
      </c>
      <c r="B48" s="312" t="s">
        <v>455</v>
      </c>
      <c r="C48" s="352" t="s">
        <v>566</v>
      </c>
      <c r="D48" s="314" t="s">
        <v>571</v>
      </c>
      <c r="E48" s="314" t="s">
        <v>568</v>
      </c>
      <c r="F48" s="314" t="s">
        <v>572</v>
      </c>
      <c r="G48" s="315"/>
      <c r="H48" s="316">
        <v>386</v>
      </c>
      <c r="I48" s="313" t="s">
        <v>510</v>
      </c>
      <c r="J48" s="318" t="s">
        <v>532</v>
      </c>
      <c r="K48" s="316">
        <f>386*0.75</f>
        <v>289.5</v>
      </c>
      <c r="L48" s="313" t="s">
        <v>510</v>
      </c>
      <c r="M48" s="318" t="s">
        <v>532</v>
      </c>
      <c r="N48" s="319" t="s">
        <v>47</v>
      </c>
      <c r="O48" s="320"/>
      <c r="P48" s="321"/>
      <c r="Q48" s="321"/>
      <c r="R48" s="326" t="s">
        <v>82</v>
      </c>
      <c r="S48" s="314"/>
      <c r="T48" s="314"/>
      <c r="U48" s="314"/>
      <c r="V48" s="315"/>
      <c r="W48" s="325">
        <v>54</v>
      </c>
      <c r="X48" s="326" t="s">
        <v>512</v>
      </c>
      <c r="Y48" s="327"/>
      <c r="Z48" s="325">
        <f>54*0.75</f>
        <v>40.5</v>
      </c>
      <c r="AA48" s="326" t="s">
        <v>512</v>
      </c>
      <c r="AB48" s="327"/>
      <c r="AC48" s="328"/>
    </row>
    <row r="49" spans="1:29" ht="12.75" customHeight="1" x14ac:dyDescent="0.15">
      <c r="A49" s="329"/>
      <c r="B49" s="312"/>
      <c r="C49" s="326" t="s">
        <v>201</v>
      </c>
      <c r="D49" s="314"/>
      <c r="E49" s="314"/>
      <c r="F49" s="314"/>
      <c r="G49" s="315"/>
      <c r="H49" s="325">
        <v>12.199999999999998</v>
      </c>
      <c r="I49" s="326" t="s">
        <v>512</v>
      </c>
      <c r="J49" s="327"/>
      <c r="K49" s="325">
        <f>12.2*0.75</f>
        <v>9.1499999999999986</v>
      </c>
      <c r="L49" s="326" t="s">
        <v>512</v>
      </c>
      <c r="M49" s="327"/>
      <c r="N49" s="328" t="s">
        <v>573</v>
      </c>
      <c r="O49" s="320"/>
      <c r="P49" s="321"/>
      <c r="Q49" s="321"/>
      <c r="R49" s="331"/>
      <c r="S49" s="314"/>
      <c r="T49" s="314"/>
      <c r="U49" s="314"/>
      <c r="V49" s="315"/>
      <c r="W49" s="332">
        <v>1.2</v>
      </c>
      <c r="X49" s="331" t="s">
        <v>512</v>
      </c>
      <c r="Y49" s="333"/>
      <c r="Z49" s="332">
        <f>1.2*0.75</f>
        <v>0.89999999999999991</v>
      </c>
      <c r="AA49" s="331" t="s">
        <v>512</v>
      </c>
      <c r="AB49" s="333"/>
      <c r="AC49" s="334"/>
    </row>
    <row r="50" spans="1:29" ht="12.75" customHeight="1" x14ac:dyDescent="0.15">
      <c r="A50" s="329"/>
      <c r="B50" s="312"/>
      <c r="C50" s="326" t="s">
        <v>127</v>
      </c>
      <c r="D50" s="314"/>
      <c r="E50" s="314"/>
      <c r="F50" s="314"/>
      <c r="G50" s="315"/>
      <c r="H50" s="325">
        <v>12.2</v>
      </c>
      <c r="I50" s="326" t="s">
        <v>512</v>
      </c>
      <c r="J50" s="327"/>
      <c r="K50" s="325">
        <f>12.2*0.75</f>
        <v>9.1499999999999986</v>
      </c>
      <c r="L50" s="326" t="s">
        <v>512</v>
      </c>
      <c r="M50" s="327"/>
      <c r="N50" s="328" t="s">
        <v>534</v>
      </c>
      <c r="O50" s="320"/>
      <c r="P50" s="353" t="s">
        <v>574</v>
      </c>
      <c r="Q50" s="354" t="s">
        <v>575</v>
      </c>
      <c r="R50" s="326" t="s">
        <v>232</v>
      </c>
      <c r="S50" s="314" t="s">
        <v>576</v>
      </c>
      <c r="T50" s="314" t="s">
        <v>577</v>
      </c>
      <c r="U50" s="314" t="s">
        <v>578</v>
      </c>
      <c r="V50" s="315"/>
      <c r="W50" s="316">
        <v>419</v>
      </c>
      <c r="X50" s="313" t="s">
        <v>510</v>
      </c>
      <c r="Y50" s="318" t="s">
        <v>579</v>
      </c>
      <c r="Z50" s="316">
        <f>419*0.75</f>
        <v>314.25</v>
      </c>
      <c r="AA50" s="313" t="s">
        <v>510</v>
      </c>
      <c r="AB50" s="318" t="s">
        <v>579</v>
      </c>
      <c r="AC50" s="319" t="s">
        <v>47</v>
      </c>
    </row>
    <row r="51" spans="1:29" ht="12.75" customHeight="1" x14ac:dyDescent="0.15">
      <c r="A51" s="329"/>
      <c r="B51" s="312"/>
      <c r="C51" s="326" t="s">
        <v>82</v>
      </c>
      <c r="D51" s="314"/>
      <c r="E51" s="314"/>
      <c r="F51" s="314"/>
      <c r="G51" s="315"/>
      <c r="H51" s="325">
        <v>54</v>
      </c>
      <c r="I51" s="326" t="s">
        <v>512</v>
      </c>
      <c r="J51" s="327"/>
      <c r="K51" s="325">
        <f>54*0.75</f>
        <v>40.5</v>
      </c>
      <c r="L51" s="326" t="s">
        <v>512</v>
      </c>
      <c r="M51" s="327"/>
      <c r="N51" s="328"/>
      <c r="O51" s="320"/>
      <c r="P51" s="355"/>
      <c r="Q51" s="354"/>
      <c r="R51" s="350" t="s">
        <v>236</v>
      </c>
      <c r="S51" s="314"/>
      <c r="T51" s="314"/>
      <c r="U51" s="314"/>
      <c r="V51" s="315"/>
      <c r="W51" s="325">
        <v>15.999999999999998</v>
      </c>
      <c r="X51" s="326" t="s">
        <v>512</v>
      </c>
      <c r="Y51" s="327"/>
      <c r="Z51" s="325">
        <f>16*0.75</f>
        <v>12</v>
      </c>
      <c r="AA51" s="326" t="s">
        <v>580</v>
      </c>
      <c r="AB51" s="327"/>
      <c r="AC51" s="328" t="s">
        <v>581</v>
      </c>
    </row>
    <row r="52" spans="1:29" ht="12.75" customHeight="1" x14ac:dyDescent="0.15">
      <c r="A52" s="329"/>
      <c r="B52" s="312"/>
      <c r="C52" s="331"/>
      <c r="D52" s="314"/>
      <c r="E52" s="314"/>
      <c r="F52" s="314"/>
      <c r="G52" s="315"/>
      <c r="H52" s="332">
        <v>1.2</v>
      </c>
      <c r="I52" s="331" t="s">
        <v>580</v>
      </c>
      <c r="J52" s="333"/>
      <c r="K52" s="332">
        <f>1.2*0.75</f>
        <v>0.89999999999999991</v>
      </c>
      <c r="L52" s="331" t="s">
        <v>580</v>
      </c>
      <c r="M52" s="333"/>
      <c r="N52" s="334"/>
      <c r="O52" s="320"/>
      <c r="P52" s="355"/>
      <c r="Q52" s="354"/>
      <c r="R52" s="326" t="s">
        <v>43</v>
      </c>
      <c r="S52" s="314"/>
      <c r="T52" s="314"/>
      <c r="U52" s="314"/>
      <c r="V52" s="315"/>
      <c r="W52" s="325">
        <v>12.900000000000002</v>
      </c>
      <c r="X52" s="326" t="s">
        <v>580</v>
      </c>
      <c r="Y52" s="327"/>
      <c r="Z52" s="325">
        <f>12.9*0.75</f>
        <v>9.6750000000000007</v>
      </c>
      <c r="AA52" s="326" t="s">
        <v>580</v>
      </c>
      <c r="AB52" s="327"/>
      <c r="AC52" s="328" t="s">
        <v>582</v>
      </c>
    </row>
    <row r="53" spans="1:29" ht="12.75" customHeight="1" x14ac:dyDescent="0.15">
      <c r="A53" s="353" t="s">
        <v>583</v>
      </c>
      <c r="B53" s="354" t="s">
        <v>575</v>
      </c>
      <c r="C53" s="326" t="s">
        <v>204</v>
      </c>
      <c r="D53" s="314" t="s">
        <v>584</v>
      </c>
      <c r="E53" s="314" t="s">
        <v>585</v>
      </c>
      <c r="F53" s="314" t="s">
        <v>586</v>
      </c>
      <c r="G53" s="315"/>
      <c r="H53" s="316">
        <v>425</v>
      </c>
      <c r="I53" s="313" t="s">
        <v>587</v>
      </c>
      <c r="J53" s="318" t="s">
        <v>532</v>
      </c>
      <c r="K53" s="316">
        <f>425*0.75</f>
        <v>318.75</v>
      </c>
      <c r="L53" s="313" t="s">
        <v>587</v>
      </c>
      <c r="M53" s="318" t="s">
        <v>532</v>
      </c>
      <c r="N53" s="319" t="s">
        <v>47</v>
      </c>
      <c r="O53" s="320"/>
      <c r="P53" s="355"/>
      <c r="Q53" s="354"/>
      <c r="R53" s="326" t="s">
        <v>103</v>
      </c>
      <c r="S53" s="314"/>
      <c r="T53" s="314"/>
      <c r="U53" s="314"/>
      <c r="V53" s="315"/>
      <c r="W53" s="325">
        <v>57.4</v>
      </c>
      <c r="X53" s="326" t="s">
        <v>580</v>
      </c>
      <c r="Y53" s="327"/>
      <c r="Z53" s="325">
        <f>57.4*0.75</f>
        <v>43.05</v>
      </c>
      <c r="AA53" s="326" t="s">
        <v>580</v>
      </c>
      <c r="AB53" s="327"/>
      <c r="AC53" s="328"/>
    </row>
    <row r="54" spans="1:29" ht="12.75" customHeight="1" x14ac:dyDescent="0.15">
      <c r="A54" s="355"/>
      <c r="B54" s="354"/>
      <c r="C54" s="350" t="s">
        <v>210</v>
      </c>
      <c r="D54" s="314"/>
      <c r="E54" s="314"/>
      <c r="F54" s="314"/>
      <c r="G54" s="315"/>
      <c r="H54" s="325">
        <v>15.199999999999998</v>
      </c>
      <c r="I54" s="326" t="s">
        <v>580</v>
      </c>
      <c r="J54" s="327"/>
      <c r="K54" s="325">
        <f>15.2*0.75</f>
        <v>11.399999999999999</v>
      </c>
      <c r="L54" s="326" t="s">
        <v>580</v>
      </c>
      <c r="M54" s="327"/>
      <c r="N54" s="328" t="s">
        <v>588</v>
      </c>
      <c r="O54" s="320"/>
      <c r="P54" s="355"/>
      <c r="Q54" s="354"/>
      <c r="R54" s="331"/>
      <c r="S54" s="314"/>
      <c r="T54" s="314"/>
      <c r="U54" s="314"/>
      <c r="V54" s="315"/>
      <c r="W54" s="332">
        <v>0.99999999999999989</v>
      </c>
      <c r="X54" s="331" t="s">
        <v>580</v>
      </c>
      <c r="Y54" s="333"/>
      <c r="Z54" s="332">
        <f>1*0.75</f>
        <v>0.75</v>
      </c>
      <c r="AA54" s="331" t="s">
        <v>512</v>
      </c>
      <c r="AB54" s="333"/>
      <c r="AC54" s="334"/>
    </row>
    <row r="55" spans="1:29" ht="12.75" customHeight="1" x14ac:dyDescent="0.15">
      <c r="A55" s="355"/>
      <c r="B55" s="354"/>
      <c r="C55" s="326" t="s">
        <v>43</v>
      </c>
      <c r="D55" s="314"/>
      <c r="E55" s="314"/>
      <c r="F55" s="314"/>
      <c r="G55" s="315"/>
      <c r="H55" s="325">
        <v>12.500000000000002</v>
      </c>
      <c r="I55" s="326" t="s">
        <v>512</v>
      </c>
      <c r="J55" s="327"/>
      <c r="K55" s="325">
        <f>12.5*0.75</f>
        <v>9.375</v>
      </c>
      <c r="L55" s="326" t="s">
        <v>512</v>
      </c>
      <c r="M55" s="327"/>
      <c r="N55" s="328"/>
      <c r="O55" s="320"/>
      <c r="P55" s="311">
        <v>30</v>
      </c>
      <c r="Q55" s="321" t="s">
        <v>442</v>
      </c>
      <c r="R55" s="313" t="s">
        <v>23</v>
      </c>
      <c r="S55" s="314" t="s">
        <v>508</v>
      </c>
      <c r="T55" s="314" t="s">
        <v>589</v>
      </c>
      <c r="U55" s="314" t="s">
        <v>506</v>
      </c>
      <c r="V55" s="315"/>
      <c r="W55" s="316">
        <v>400</v>
      </c>
      <c r="X55" s="313" t="s">
        <v>510</v>
      </c>
      <c r="Y55" s="318" t="s">
        <v>79</v>
      </c>
      <c r="Z55" s="316">
        <f>400*0.75</f>
        <v>300</v>
      </c>
      <c r="AA55" s="313" t="s">
        <v>510</v>
      </c>
      <c r="AB55" s="318" t="s">
        <v>79</v>
      </c>
      <c r="AC55" s="319" t="s">
        <v>47</v>
      </c>
    </row>
    <row r="56" spans="1:29" ht="12.75" customHeight="1" x14ac:dyDescent="0.15">
      <c r="A56" s="355"/>
      <c r="B56" s="354"/>
      <c r="C56" s="326" t="s">
        <v>103</v>
      </c>
      <c r="D56" s="314"/>
      <c r="E56" s="314"/>
      <c r="F56" s="314"/>
      <c r="G56" s="315"/>
      <c r="H56" s="325">
        <v>60.599999999999987</v>
      </c>
      <c r="I56" s="326" t="s">
        <v>512</v>
      </c>
      <c r="J56" s="327"/>
      <c r="K56" s="325">
        <f>60.6*0.75</f>
        <v>45.45</v>
      </c>
      <c r="L56" s="326" t="s">
        <v>512</v>
      </c>
      <c r="M56" s="327"/>
      <c r="N56" s="328"/>
      <c r="O56" s="320"/>
      <c r="P56" s="311"/>
      <c r="Q56" s="321"/>
      <c r="R56" s="323" t="s">
        <v>64</v>
      </c>
      <c r="S56" s="324"/>
      <c r="T56" s="324"/>
      <c r="U56" s="314"/>
      <c r="V56" s="315"/>
      <c r="W56" s="325">
        <v>15.299999999999995</v>
      </c>
      <c r="X56" s="326" t="s">
        <v>512</v>
      </c>
      <c r="Y56" s="327"/>
      <c r="Z56" s="325">
        <f>15.3*0.75</f>
        <v>11.475000000000001</v>
      </c>
      <c r="AA56" s="326" t="s">
        <v>512</v>
      </c>
      <c r="AB56" s="327"/>
      <c r="AC56" s="328" t="s">
        <v>590</v>
      </c>
    </row>
    <row r="57" spans="1:29" ht="12.75" customHeight="1" x14ac:dyDescent="0.15">
      <c r="A57" s="355"/>
      <c r="B57" s="354"/>
      <c r="C57" s="331"/>
      <c r="D57" s="314"/>
      <c r="E57" s="314"/>
      <c r="F57" s="314"/>
      <c r="G57" s="315"/>
      <c r="H57" s="332">
        <v>0.79999999999999993</v>
      </c>
      <c r="I57" s="331" t="s">
        <v>512</v>
      </c>
      <c r="J57" s="333"/>
      <c r="K57" s="332">
        <f>0.8*0.75</f>
        <v>0.60000000000000009</v>
      </c>
      <c r="L57" s="331" t="s">
        <v>512</v>
      </c>
      <c r="M57" s="333"/>
      <c r="N57" s="334"/>
      <c r="O57" s="320"/>
      <c r="P57" s="311"/>
      <c r="Q57" s="321"/>
      <c r="R57" s="326" t="s">
        <v>515</v>
      </c>
      <c r="S57" s="324"/>
      <c r="T57" s="324"/>
      <c r="U57" s="314"/>
      <c r="V57" s="315"/>
      <c r="W57" s="325">
        <v>11.899999999999999</v>
      </c>
      <c r="X57" s="326" t="s">
        <v>512</v>
      </c>
      <c r="Y57" s="327"/>
      <c r="Z57" s="325">
        <f>11.9*0.75</f>
        <v>8.9250000000000007</v>
      </c>
      <c r="AA57" s="326" t="s">
        <v>512</v>
      </c>
      <c r="AB57" s="327"/>
      <c r="AC57" s="328" t="s">
        <v>591</v>
      </c>
    </row>
    <row r="58" spans="1:29" ht="12.75" customHeight="1" x14ac:dyDescent="0.15">
      <c r="A58" s="356"/>
      <c r="B58" s="357"/>
      <c r="C58" s="357"/>
      <c r="D58" s="357"/>
      <c r="E58" s="357"/>
      <c r="F58" s="357"/>
      <c r="G58" s="357"/>
      <c r="H58" s="357"/>
      <c r="I58" s="357"/>
      <c r="J58" s="357"/>
      <c r="K58" s="357"/>
      <c r="L58" s="357"/>
      <c r="M58" s="357"/>
      <c r="N58" s="358"/>
      <c r="O58" s="320"/>
      <c r="P58" s="311"/>
      <c r="Q58" s="321"/>
      <c r="R58" s="326" t="s">
        <v>58</v>
      </c>
      <c r="S58" s="324"/>
      <c r="T58" s="324"/>
      <c r="U58" s="314"/>
      <c r="V58" s="315"/>
      <c r="W58" s="325">
        <v>56.8</v>
      </c>
      <c r="X58" s="326" t="s">
        <v>512</v>
      </c>
      <c r="Y58" s="327"/>
      <c r="Z58" s="325">
        <f>56.8*0.75</f>
        <v>42.599999999999994</v>
      </c>
      <c r="AA58" s="326" t="s">
        <v>512</v>
      </c>
      <c r="AB58" s="327"/>
      <c r="AC58" s="328"/>
    </row>
    <row r="59" spans="1:29" ht="12.75" customHeight="1" x14ac:dyDescent="0.15">
      <c r="A59" s="359"/>
      <c r="B59" s="360"/>
      <c r="C59" s="360"/>
      <c r="D59" s="360"/>
      <c r="E59" s="360"/>
      <c r="F59" s="360"/>
      <c r="G59" s="360"/>
      <c r="H59" s="360"/>
      <c r="I59" s="360"/>
      <c r="J59" s="360"/>
      <c r="K59" s="360"/>
      <c r="L59" s="360"/>
      <c r="M59" s="360"/>
      <c r="N59" s="361"/>
      <c r="O59" s="320"/>
      <c r="P59" s="311"/>
      <c r="Q59" s="321"/>
      <c r="R59" s="331" t="s">
        <v>82</v>
      </c>
      <c r="S59" s="324"/>
      <c r="T59" s="324"/>
      <c r="U59" s="314"/>
      <c r="V59" s="315"/>
      <c r="W59" s="332">
        <v>0.9</v>
      </c>
      <c r="X59" s="331" t="s">
        <v>512</v>
      </c>
      <c r="Y59" s="333"/>
      <c r="Z59" s="332">
        <f>0.9*0.75</f>
        <v>0.67500000000000004</v>
      </c>
      <c r="AA59" s="331" t="s">
        <v>512</v>
      </c>
      <c r="AB59" s="333"/>
      <c r="AC59" s="334"/>
    </row>
    <row r="60" spans="1:29" ht="12.75" customHeight="1" x14ac:dyDescent="0.15">
      <c r="A60" s="362" t="s">
        <v>592</v>
      </c>
      <c r="B60" s="362"/>
      <c r="C60" s="363" t="s">
        <v>593</v>
      </c>
      <c r="D60" s="364" t="s">
        <v>594</v>
      </c>
      <c r="E60" s="365"/>
      <c r="F60" s="365"/>
      <c r="G60" s="365"/>
      <c r="H60" s="365"/>
      <c r="I60" s="365"/>
      <c r="J60" s="365"/>
      <c r="K60" s="365"/>
      <c r="L60" s="365"/>
      <c r="M60" s="366"/>
      <c r="N60" s="367"/>
      <c r="O60" s="368"/>
      <c r="P60" s="369" t="s">
        <v>595</v>
      </c>
      <c r="Q60" s="370"/>
      <c r="R60" s="370"/>
      <c r="S60" s="370"/>
      <c r="T60" s="370"/>
      <c r="U60" s="370"/>
      <c r="V60" s="370"/>
      <c r="W60" s="370"/>
      <c r="X60" s="370"/>
      <c r="Y60" s="370"/>
      <c r="Z60" s="370"/>
      <c r="AA60" s="370"/>
      <c r="AB60" s="370"/>
      <c r="AC60" s="371"/>
    </row>
    <row r="61" spans="1:29" ht="12.75" customHeight="1" x14ac:dyDescent="0.15">
      <c r="A61" s="321"/>
      <c r="B61" s="321"/>
      <c r="C61" s="372" t="s">
        <v>596</v>
      </c>
      <c r="D61" s="373" t="s">
        <v>597</v>
      </c>
      <c r="E61" s="373" t="s">
        <v>598</v>
      </c>
      <c r="F61" s="373" t="s">
        <v>599</v>
      </c>
      <c r="G61" s="373"/>
      <c r="I61" s="374"/>
      <c r="J61" s="374"/>
      <c r="K61" s="375" t="s">
        <v>600</v>
      </c>
      <c r="L61" s="376"/>
      <c r="M61" s="373" t="s">
        <v>601</v>
      </c>
      <c r="N61" s="367"/>
      <c r="O61" s="368"/>
      <c r="P61" s="377" t="s">
        <v>602</v>
      </c>
      <c r="Q61" s="378"/>
      <c r="R61" s="379"/>
      <c r="S61" s="379"/>
      <c r="T61" s="379"/>
      <c r="U61" s="379"/>
      <c r="V61" s="379"/>
      <c r="W61" s="379"/>
      <c r="X61" s="379"/>
      <c r="AC61" s="379"/>
    </row>
    <row r="62" spans="1:29" ht="12.75" customHeight="1" x14ac:dyDescent="0.15">
      <c r="A62" s="380" t="s">
        <v>603</v>
      </c>
      <c r="B62" s="381" t="s">
        <v>604</v>
      </c>
      <c r="C62" s="372" t="s">
        <v>605</v>
      </c>
      <c r="D62" s="382">
        <f>11771/30</f>
        <v>392.36666666666667</v>
      </c>
      <c r="E62" s="383">
        <f>435.100000000001/30</f>
        <v>14.503333333333366</v>
      </c>
      <c r="F62" s="383">
        <f>315.8/30</f>
        <v>10.526666666666667</v>
      </c>
      <c r="G62" s="383"/>
      <c r="I62" s="384"/>
      <c r="J62" s="384"/>
      <c r="K62" s="375">
        <f>1737.9/30</f>
        <v>57.93</v>
      </c>
      <c r="L62" s="376"/>
      <c r="M62" s="385">
        <f>33.4000000000001/30</f>
        <v>1.1133333333333366</v>
      </c>
      <c r="N62" s="367"/>
      <c r="O62" s="368"/>
      <c r="P62" s="386" t="s">
        <v>606</v>
      </c>
      <c r="Q62" s="387"/>
      <c r="R62" s="388"/>
      <c r="S62" s="389"/>
      <c r="T62" s="389"/>
      <c r="U62" s="389"/>
      <c r="V62" s="389"/>
      <c r="AC62" s="285"/>
    </row>
    <row r="63" spans="1:29" ht="12.75" customHeight="1" x14ac:dyDescent="0.15">
      <c r="A63" s="380" t="s">
        <v>607</v>
      </c>
      <c r="B63" s="381" t="s">
        <v>604</v>
      </c>
      <c r="C63" s="372" t="s">
        <v>608</v>
      </c>
      <c r="D63" s="382">
        <f>(11771*0.75)/30</f>
        <v>294.27499999999998</v>
      </c>
      <c r="E63" s="383">
        <f>(435.100000000001*0.75)/30</f>
        <v>10.877500000000024</v>
      </c>
      <c r="F63" s="383">
        <f>(315.8*0.75)/30</f>
        <v>7.8950000000000005</v>
      </c>
      <c r="G63" s="383"/>
      <c r="I63" s="384"/>
      <c r="J63" s="384"/>
      <c r="K63" s="364">
        <f>(1737.9*0.75)/30</f>
        <v>43.447500000000005</v>
      </c>
      <c r="L63" s="366"/>
      <c r="M63" s="385">
        <f>(33.4000000000001*0.75)/30</f>
        <v>0.83500000000000252</v>
      </c>
      <c r="N63" s="367"/>
      <c r="O63" s="368"/>
      <c r="P63" s="386" t="s">
        <v>609</v>
      </c>
      <c r="Q63" s="387"/>
      <c r="R63" s="388"/>
      <c r="S63" s="389"/>
      <c r="T63" s="389"/>
      <c r="U63" s="389"/>
      <c r="V63" s="389"/>
      <c r="AC63" s="389"/>
    </row>
    <row r="64" spans="1:29" ht="12.75" customHeight="1" x14ac:dyDescent="0.15">
      <c r="A64" s="390"/>
      <c r="B64" s="391"/>
      <c r="C64" s="392"/>
      <c r="D64" s="393"/>
      <c r="E64" s="394"/>
      <c r="F64" s="394"/>
      <c r="G64" s="394"/>
      <c r="H64" s="395"/>
      <c r="I64" s="367"/>
      <c r="J64" s="396"/>
      <c r="K64" s="395"/>
      <c r="L64" s="367"/>
      <c r="N64" s="367"/>
      <c r="O64" s="368"/>
      <c r="P64" s="397" t="s">
        <v>610</v>
      </c>
      <c r="Q64" s="397"/>
      <c r="R64" s="397"/>
      <c r="S64" s="397"/>
      <c r="T64" s="397"/>
      <c r="U64" s="397"/>
      <c r="V64" s="397"/>
      <c r="AC64" s="398"/>
    </row>
    <row r="65" spans="9:29" ht="12.75" customHeight="1" x14ac:dyDescent="0.15">
      <c r="I65" s="367"/>
      <c r="L65" s="367"/>
      <c r="M65" s="399"/>
      <c r="N65" s="367"/>
      <c r="O65" s="368"/>
      <c r="P65" s="397" t="s">
        <v>611</v>
      </c>
      <c r="Q65" s="397"/>
      <c r="R65" s="397"/>
      <c r="S65" s="397"/>
      <c r="T65" s="397"/>
      <c r="U65" s="397"/>
      <c r="V65" s="397"/>
      <c r="AC65" s="398"/>
    </row>
    <row r="66" spans="9:29" ht="12.75" customHeight="1" x14ac:dyDescent="0.15">
      <c r="M66" s="399"/>
      <c r="N66" s="367"/>
      <c r="O66" s="368"/>
      <c r="P66" s="397"/>
      <c r="T66" s="285"/>
      <c r="AC66" s="400"/>
    </row>
    <row r="67" spans="9:29" ht="12.75" customHeight="1" x14ac:dyDescent="0.15">
      <c r="N67" s="367"/>
      <c r="O67" s="368"/>
      <c r="P67" s="397"/>
      <c r="AC67" s="367"/>
    </row>
    <row r="68" spans="9:29" ht="12.75" customHeight="1" x14ac:dyDescent="0.15">
      <c r="N68" s="367"/>
      <c r="O68" s="368"/>
    </row>
    <row r="69" spans="9:29" ht="12.75" customHeight="1" x14ac:dyDescent="0.15">
      <c r="N69" s="367"/>
      <c r="O69" s="368"/>
    </row>
    <row r="70" spans="9:29" ht="12.75" customHeight="1" x14ac:dyDescent="0.15">
      <c r="N70" s="367"/>
      <c r="O70" s="368"/>
    </row>
    <row r="71" spans="9:29" ht="12.75" customHeight="1" x14ac:dyDescent="0.15">
      <c r="N71" s="367"/>
      <c r="O71" s="368"/>
    </row>
    <row r="72" spans="9:29" ht="12.75" customHeight="1" x14ac:dyDescent="0.15">
      <c r="N72" s="367"/>
      <c r="O72" s="368"/>
    </row>
    <row r="73" spans="9:29" ht="12.75" customHeight="1" x14ac:dyDescent="0.15">
      <c r="N73" s="367"/>
      <c r="O73" s="368"/>
    </row>
    <row r="74" spans="9:29" ht="12.75" customHeight="1" x14ac:dyDescent="0.15">
      <c r="N74" s="367"/>
      <c r="O74" s="368"/>
    </row>
    <row r="75" spans="9:29" ht="12.75" customHeight="1" x14ac:dyDescent="0.15">
      <c r="N75" s="367"/>
      <c r="O75" s="368"/>
    </row>
    <row r="76" spans="9:29" ht="12.75" customHeight="1" x14ac:dyDescent="0.15">
      <c r="N76" s="367"/>
      <c r="O76" s="368"/>
    </row>
    <row r="77" spans="9:29" ht="12.75" customHeight="1" x14ac:dyDescent="0.15">
      <c r="N77" s="367"/>
      <c r="O77" s="368"/>
    </row>
    <row r="78" spans="9:29" ht="12.75" customHeight="1" x14ac:dyDescent="0.15">
      <c r="N78" s="367"/>
      <c r="O78" s="368"/>
    </row>
    <row r="79" spans="9:29" ht="12.75" customHeight="1" x14ac:dyDescent="0.15">
      <c r="N79" s="367"/>
      <c r="O79" s="368"/>
    </row>
    <row r="80" spans="9:29" ht="12.75" customHeight="1" x14ac:dyDescent="0.15">
      <c r="N80" s="367"/>
      <c r="O80" s="368"/>
    </row>
    <row r="81" spans="14:15" ht="12.75" customHeight="1" x14ac:dyDescent="0.15">
      <c r="N81" s="367"/>
      <c r="O81" s="368"/>
    </row>
    <row r="82" spans="14:15" ht="12.75" customHeight="1" x14ac:dyDescent="0.15">
      <c r="N82" s="367"/>
      <c r="O82" s="367"/>
    </row>
    <row r="83" spans="14:15" ht="12.75" customHeight="1" x14ac:dyDescent="0.15">
      <c r="N83" s="367"/>
      <c r="O83" s="388"/>
    </row>
    <row r="84" spans="14:15" ht="12.75" customHeight="1" x14ac:dyDescent="0.15">
      <c r="N84" s="367"/>
      <c r="O84" s="402"/>
    </row>
    <row r="85" spans="14:15" ht="12.75" customHeight="1" x14ac:dyDescent="0.15">
      <c r="N85" s="367"/>
      <c r="O85" s="402"/>
    </row>
    <row r="86" spans="14:15" ht="12.75" customHeight="1" x14ac:dyDescent="0.15">
      <c r="N86" s="367"/>
      <c r="O86" s="367"/>
    </row>
    <row r="87" spans="14:15" ht="12.75" customHeight="1" x14ac:dyDescent="0.15">
      <c r="N87" s="367"/>
      <c r="O87" s="399"/>
    </row>
    <row r="88" spans="14:15" ht="12.75" customHeight="1" x14ac:dyDescent="0.15">
      <c r="N88" s="367"/>
      <c r="O88" s="399"/>
    </row>
    <row r="89" spans="14:15" ht="12.75" customHeight="1" x14ac:dyDescent="0.15">
      <c r="N89" s="367"/>
      <c r="O89" s="367"/>
    </row>
    <row r="90" spans="14:15" ht="12.75" customHeight="1" x14ac:dyDescent="0.15"/>
    <row r="91" spans="14:15" ht="12.75" customHeight="1" x14ac:dyDescent="0.15"/>
    <row r="92" spans="14:15" ht="12.75" customHeight="1" x14ac:dyDescent="0.15"/>
    <row r="93" spans="14:15" ht="12.75" customHeight="1" x14ac:dyDescent="0.15"/>
  </sheetData>
  <mergeCells count="171">
    <mergeCell ref="K63:L63"/>
    <mergeCell ref="A58:N59"/>
    <mergeCell ref="A60:B61"/>
    <mergeCell ref="D60:M60"/>
    <mergeCell ref="P60:AB60"/>
    <mergeCell ref="K61:L61"/>
    <mergeCell ref="K62:L62"/>
    <mergeCell ref="Q55:Q59"/>
    <mergeCell ref="S55:S59"/>
    <mergeCell ref="T55:T59"/>
    <mergeCell ref="U55:U59"/>
    <mergeCell ref="Y55:Y59"/>
    <mergeCell ref="AB55:AB59"/>
    <mergeCell ref="Y50:Y54"/>
    <mergeCell ref="AB50:AB54"/>
    <mergeCell ref="A53:A57"/>
    <mergeCell ref="B53:B57"/>
    <mergeCell ref="D53:D57"/>
    <mergeCell ref="E53:E57"/>
    <mergeCell ref="F53:F57"/>
    <mergeCell ref="J53:J57"/>
    <mergeCell ref="M53:M57"/>
    <mergeCell ref="P55:P59"/>
    <mergeCell ref="M48:M52"/>
    <mergeCell ref="P50:P54"/>
    <mergeCell ref="Q50:Q54"/>
    <mergeCell ref="S50:S54"/>
    <mergeCell ref="T50:T54"/>
    <mergeCell ref="U50:U54"/>
    <mergeCell ref="A48:A52"/>
    <mergeCell ref="B48:B52"/>
    <mergeCell ref="D48:D52"/>
    <mergeCell ref="E48:E52"/>
    <mergeCell ref="F48:F52"/>
    <mergeCell ref="J48:J52"/>
    <mergeCell ref="Q45:Q49"/>
    <mergeCell ref="S45:S49"/>
    <mergeCell ref="T45:T49"/>
    <mergeCell ref="U45:U49"/>
    <mergeCell ref="Y45:Y49"/>
    <mergeCell ref="AB45:AB49"/>
    <mergeCell ref="Y40:Y44"/>
    <mergeCell ref="AB40:AB44"/>
    <mergeCell ref="A43:A47"/>
    <mergeCell ref="B43:B47"/>
    <mergeCell ref="D43:D47"/>
    <mergeCell ref="E43:E47"/>
    <mergeCell ref="F43:F47"/>
    <mergeCell ref="J43:J47"/>
    <mergeCell ref="M43:M47"/>
    <mergeCell ref="P45:P49"/>
    <mergeCell ref="M38:M42"/>
    <mergeCell ref="P40:P44"/>
    <mergeCell ref="Q40:Q44"/>
    <mergeCell ref="S40:S44"/>
    <mergeCell ref="T40:T44"/>
    <mergeCell ref="U40:U44"/>
    <mergeCell ref="A38:A42"/>
    <mergeCell ref="B38:B42"/>
    <mergeCell ref="D38:D42"/>
    <mergeCell ref="E38:E42"/>
    <mergeCell ref="F38:F42"/>
    <mergeCell ref="J38:J42"/>
    <mergeCell ref="Q35:Q39"/>
    <mergeCell ref="S35:S39"/>
    <mergeCell ref="T35:T39"/>
    <mergeCell ref="U35:U39"/>
    <mergeCell ref="Y35:Y39"/>
    <mergeCell ref="AB35:AB39"/>
    <mergeCell ref="A30:N32"/>
    <mergeCell ref="P32:AC34"/>
    <mergeCell ref="A33:A37"/>
    <mergeCell ref="B33:B37"/>
    <mergeCell ref="D33:D37"/>
    <mergeCell ref="E33:E37"/>
    <mergeCell ref="F33:F37"/>
    <mergeCell ref="J33:J37"/>
    <mergeCell ref="M33:M37"/>
    <mergeCell ref="P35:P39"/>
    <mergeCell ref="Q27:Q31"/>
    <mergeCell ref="S27:S31"/>
    <mergeCell ref="T27:T31"/>
    <mergeCell ref="U27:U31"/>
    <mergeCell ref="Y27:Y31"/>
    <mergeCell ref="AB27:AB31"/>
    <mergeCell ref="Y22:Y26"/>
    <mergeCell ref="AB22:AB26"/>
    <mergeCell ref="A25:A29"/>
    <mergeCell ref="B25:B29"/>
    <mergeCell ref="D25:D29"/>
    <mergeCell ref="E25:E29"/>
    <mergeCell ref="F25:F29"/>
    <mergeCell ref="J25:J29"/>
    <mergeCell ref="M25:M29"/>
    <mergeCell ref="P27:P31"/>
    <mergeCell ref="M20:M24"/>
    <mergeCell ref="P22:P26"/>
    <mergeCell ref="Q22:Q26"/>
    <mergeCell ref="S22:S26"/>
    <mergeCell ref="T22:T26"/>
    <mergeCell ref="U22:U26"/>
    <mergeCell ref="A20:A24"/>
    <mergeCell ref="B20:B24"/>
    <mergeCell ref="D20:D24"/>
    <mergeCell ref="E20:E24"/>
    <mergeCell ref="F20:F24"/>
    <mergeCell ref="J20:J24"/>
    <mergeCell ref="Q17:Q21"/>
    <mergeCell ref="S17:S21"/>
    <mergeCell ref="T17:T21"/>
    <mergeCell ref="U17:U21"/>
    <mergeCell ref="Y17:Y21"/>
    <mergeCell ref="AB17:AB21"/>
    <mergeCell ref="Y12:Y16"/>
    <mergeCell ref="AB12:AB16"/>
    <mergeCell ref="A15:A19"/>
    <mergeCell ref="B15:B19"/>
    <mergeCell ref="D15:D19"/>
    <mergeCell ref="E15:E19"/>
    <mergeCell ref="F15:F19"/>
    <mergeCell ref="J15:J19"/>
    <mergeCell ref="M15:M19"/>
    <mergeCell ref="P17:P21"/>
    <mergeCell ref="A12:N14"/>
    <mergeCell ref="P12:P16"/>
    <mergeCell ref="Q12:Q16"/>
    <mergeCell ref="S12:S16"/>
    <mergeCell ref="T12:T16"/>
    <mergeCell ref="U12:U16"/>
    <mergeCell ref="Q7:Q11"/>
    <mergeCell ref="S7:S11"/>
    <mergeCell ref="T7:T11"/>
    <mergeCell ref="U7:U11"/>
    <mergeCell ref="Y7:Y11"/>
    <mergeCell ref="AB7:AB11"/>
    <mergeCell ref="AB3:AB6"/>
    <mergeCell ref="AC3:AC6"/>
    <mergeCell ref="A7:A11"/>
    <mergeCell ref="B7:B11"/>
    <mergeCell ref="D7:D11"/>
    <mergeCell ref="E7:E11"/>
    <mergeCell ref="F7:F11"/>
    <mergeCell ref="J7:J11"/>
    <mergeCell ref="M7:M11"/>
    <mergeCell ref="P7:P11"/>
    <mergeCell ref="J3:J6"/>
    <mergeCell ref="K3:L6"/>
    <mergeCell ref="M3:M6"/>
    <mergeCell ref="N3:N6"/>
    <mergeCell ref="S3:S6"/>
    <mergeCell ref="T3:T6"/>
    <mergeCell ref="P2:P6"/>
    <mergeCell ref="Q2:Q6"/>
    <mergeCell ref="R2:R6"/>
    <mergeCell ref="S2:U2"/>
    <mergeCell ref="W2:Y2"/>
    <mergeCell ref="Z2:AB2"/>
    <mergeCell ref="U3:V6"/>
    <mergeCell ref="W3:X6"/>
    <mergeCell ref="Y3:Y6"/>
    <mergeCell ref="Z3:AA6"/>
    <mergeCell ref="A2:A6"/>
    <mergeCell ref="B2:B6"/>
    <mergeCell ref="C2:C6"/>
    <mergeCell ref="D2:F2"/>
    <mergeCell ref="H2:J2"/>
    <mergeCell ref="K2:M2"/>
    <mergeCell ref="D3:D6"/>
    <mergeCell ref="E3:E6"/>
    <mergeCell ref="F3:G6"/>
    <mergeCell ref="H3:I6"/>
  </mergeCells>
  <phoneticPr fontId="22"/>
  <printOptions horizontalCentered="1" verticalCentered="1"/>
  <pageMargins left="0.39370078740157483" right="0.39370078740157483" top="0.39370078740157483" bottom="0.39370078740157483" header="0.19685039370078741" footer="0.19685039370078741"/>
  <pageSetup paperSize="12" scale="6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376</v>
      </c>
      <c r="B7" s="249"/>
      <c r="C7" s="249"/>
      <c r="D7" s="114"/>
      <c r="E7" s="250" t="s">
        <v>359</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377</v>
      </c>
      <c r="C13" s="132" t="s">
        <v>151</v>
      </c>
      <c r="D13" s="132" t="s">
        <v>52</v>
      </c>
      <c r="E13" s="56"/>
      <c r="F13" s="56"/>
      <c r="G13" s="132"/>
      <c r="H13" s="143">
        <v>0.7</v>
      </c>
      <c r="I13" s="132" t="s">
        <v>377</v>
      </c>
      <c r="J13" s="132" t="s">
        <v>151</v>
      </c>
      <c r="K13" s="143">
        <v>0.3</v>
      </c>
      <c r="L13" s="132" t="s">
        <v>378</v>
      </c>
      <c r="M13" s="132" t="s">
        <v>151</v>
      </c>
      <c r="N13" s="146">
        <v>0.2</v>
      </c>
      <c r="O13" s="134" t="s">
        <v>52</v>
      </c>
    </row>
    <row r="14" spans="1:21" ht="14.25" x14ac:dyDescent="0.15">
      <c r="A14" s="265"/>
      <c r="B14" s="132"/>
      <c r="C14" s="132" t="s">
        <v>96</v>
      </c>
      <c r="D14" s="132"/>
      <c r="E14" s="56"/>
      <c r="F14" s="56"/>
      <c r="G14" s="132"/>
      <c r="H14" s="135">
        <v>20</v>
      </c>
      <c r="I14" s="132"/>
      <c r="J14" s="132" t="s">
        <v>96</v>
      </c>
      <c r="K14" s="135">
        <v>20</v>
      </c>
      <c r="L14" s="132"/>
      <c r="M14" s="132" t="s">
        <v>96</v>
      </c>
      <c r="N14" s="135">
        <v>20</v>
      </c>
      <c r="O14" s="134"/>
    </row>
    <row r="15" spans="1:21" ht="14.25" x14ac:dyDescent="0.15">
      <c r="A15" s="265"/>
      <c r="B15" s="132"/>
      <c r="C15" s="132"/>
      <c r="D15" s="132"/>
      <c r="E15" s="56"/>
      <c r="F15" s="56"/>
      <c r="G15" s="132" t="s">
        <v>25</v>
      </c>
      <c r="H15" s="135" t="s">
        <v>354</v>
      </c>
      <c r="I15" s="132"/>
      <c r="J15" s="132"/>
      <c r="K15" s="135"/>
      <c r="L15" s="129"/>
      <c r="M15" s="129"/>
      <c r="N15" s="130"/>
      <c r="O15" s="131"/>
    </row>
    <row r="16" spans="1:21" ht="14.25" x14ac:dyDescent="0.15">
      <c r="A16" s="265"/>
      <c r="B16" s="129"/>
      <c r="C16" s="129"/>
      <c r="D16" s="129"/>
      <c r="E16" s="62"/>
      <c r="F16" s="62"/>
      <c r="G16" s="129"/>
      <c r="H16" s="130"/>
      <c r="I16" s="129"/>
      <c r="J16" s="129"/>
      <c r="K16" s="130"/>
      <c r="L16" s="132" t="s">
        <v>379</v>
      </c>
      <c r="M16" s="132" t="s">
        <v>33</v>
      </c>
      <c r="N16" s="135">
        <v>5</v>
      </c>
      <c r="O16" s="134"/>
    </row>
    <row r="17" spans="1:15" ht="14.25" x14ac:dyDescent="0.15">
      <c r="A17" s="265"/>
      <c r="B17" s="132" t="s">
        <v>153</v>
      </c>
      <c r="C17" s="132" t="s">
        <v>156</v>
      </c>
      <c r="D17" s="132"/>
      <c r="E17" s="56"/>
      <c r="F17" s="56"/>
      <c r="G17" s="132"/>
      <c r="H17" s="135">
        <v>20</v>
      </c>
      <c r="I17" s="132" t="s">
        <v>380</v>
      </c>
      <c r="J17" s="132" t="s">
        <v>33</v>
      </c>
      <c r="K17" s="135">
        <v>10</v>
      </c>
      <c r="L17" s="129"/>
      <c r="M17" s="129"/>
      <c r="N17" s="130"/>
      <c r="O17" s="131"/>
    </row>
    <row r="18" spans="1:15" ht="14.25" x14ac:dyDescent="0.15">
      <c r="A18" s="265"/>
      <c r="B18" s="132"/>
      <c r="C18" s="132" t="s">
        <v>33</v>
      </c>
      <c r="D18" s="132"/>
      <c r="E18" s="56"/>
      <c r="F18" s="56"/>
      <c r="G18" s="132"/>
      <c r="H18" s="135">
        <v>10</v>
      </c>
      <c r="I18" s="129"/>
      <c r="J18" s="129"/>
      <c r="K18" s="130"/>
      <c r="L18" s="132" t="s">
        <v>381</v>
      </c>
      <c r="M18" s="132" t="s">
        <v>159</v>
      </c>
      <c r="N18" s="138">
        <v>0.13</v>
      </c>
      <c r="O18" s="134"/>
    </row>
    <row r="19" spans="1:15" ht="14.25" x14ac:dyDescent="0.15">
      <c r="A19" s="265"/>
      <c r="B19" s="129"/>
      <c r="C19" s="129"/>
      <c r="D19" s="129"/>
      <c r="E19" s="62"/>
      <c r="F19" s="62"/>
      <c r="G19" s="129"/>
      <c r="H19" s="130"/>
      <c r="I19" s="132" t="s">
        <v>58</v>
      </c>
      <c r="J19" s="132" t="s">
        <v>157</v>
      </c>
      <c r="K19" s="147">
        <v>0.05</v>
      </c>
      <c r="L19" s="132"/>
      <c r="M19" s="132"/>
      <c r="N19" s="135"/>
      <c r="O19" s="134"/>
    </row>
    <row r="20" spans="1:15" ht="14.25" x14ac:dyDescent="0.15">
      <c r="A20" s="265"/>
      <c r="B20" s="132" t="s">
        <v>58</v>
      </c>
      <c r="C20" s="132" t="s">
        <v>81</v>
      </c>
      <c r="D20" s="132"/>
      <c r="E20" s="56"/>
      <c r="F20" s="56"/>
      <c r="G20" s="132"/>
      <c r="H20" s="135">
        <v>5</v>
      </c>
      <c r="I20" s="132"/>
      <c r="J20" s="132"/>
      <c r="K20" s="135"/>
      <c r="L20" s="132"/>
      <c r="M20" s="132"/>
      <c r="N20" s="135"/>
      <c r="O20" s="134"/>
    </row>
    <row r="21" spans="1:15" ht="14.25" x14ac:dyDescent="0.15">
      <c r="A21" s="265"/>
      <c r="B21" s="132"/>
      <c r="C21" s="132" t="s">
        <v>157</v>
      </c>
      <c r="D21" s="132"/>
      <c r="E21" s="56" t="s">
        <v>27</v>
      </c>
      <c r="F21" s="56"/>
      <c r="G21" s="132"/>
      <c r="H21" s="147">
        <v>0.05</v>
      </c>
      <c r="I21" s="132"/>
      <c r="J21" s="132"/>
      <c r="K21" s="135"/>
      <c r="L21" s="132"/>
      <c r="M21" s="132"/>
      <c r="N21" s="135"/>
      <c r="O21" s="134"/>
    </row>
    <row r="22" spans="1:15" ht="14.25" x14ac:dyDescent="0.15">
      <c r="A22" s="265"/>
      <c r="B22" s="132"/>
      <c r="C22" s="132"/>
      <c r="D22" s="132"/>
      <c r="E22" s="56"/>
      <c r="F22" s="56"/>
      <c r="G22" s="132" t="s">
        <v>25</v>
      </c>
      <c r="H22" s="135" t="s">
        <v>354</v>
      </c>
      <c r="I22" s="129"/>
      <c r="J22" s="129"/>
      <c r="K22" s="130"/>
      <c r="L22" s="132"/>
      <c r="M22" s="132"/>
      <c r="N22" s="135"/>
      <c r="O22" s="134"/>
    </row>
    <row r="23" spans="1:15" ht="14.25" x14ac:dyDescent="0.15">
      <c r="A23" s="265"/>
      <c r="B23" s="132"/>
      <c r="C23" s="132"/>
      <c r="D23" s="132"/>
      <c r="E23" s="56"/>
      <c r="F23" s="137"/>
      <c r="G23" s="132" t="s">
        <v>59</v>
      </c>
      <c r="H23" s="135" t="s">
        <v>356</v>
      </c>
      <c r="I23" s="132" t="s">
        <v>158</v>
      </c>
      <c r="J23" s="132" t="s">
        <v>159</v>
      </c>
      <c r="K23" s="146">
        <v>0.17</v>
      </c>
      <c r="L23" s="132"/>
      <c r="M23" s="132"/>
      <c r="N23" s="135"/>
      <c r="O23" s="134"/>
    </row>
    <row r="24" spans="1:15" ht="14.25" x14ac:dyDescent="0.15">
      <c r="A24" s="265"/>
      <c r="B24" s="129"/>
      <c r="C24" s="129"/>
      <c r="D24" s="129"/>
      <c r="E24" s="62"/>
      <c r="F24" s="62"/>
      <c r="G24" s="129"/>
      <c r="H24" s="130"/>
      <c r="I24" s="132"/>
      <c r="J24" s="132"/>
      <c r="K24" s="135"/>
      <c r="L24" s="132"/>
      <c r="M24" s="132"/>
      <c r="N24" s="135"/>
      <c r="O24" s="134"/>
    </row>
    <row r="25" spans="1:15" ht="14.25" x14ac:dyDescent="0.15">
      <c r="A25" s="265"/>
      <c r="B25" s="132" t="s">
        <v>158</v>
      </c>
      <c r="C25" s="132" t="s">
        <v>159</v>
      </c>
      <c r="D25" s="132"/>
      <c r="E25" s="56"/>
      <c r="F25" s="56"/>
      <c r="G25" s="132"/>
      <c r="H25" s="146">
        <v>0.17</v>
      </c>
      <c r="I25" s="132"/>
      <c r="J25" s="132"/>
      <c r="K25" s="135"/>
      <c r="L25" s="132"/>
      <c r="M25" s="132"/>
      <c r="N25" s="135"/>
      <c r="O25" s="134"/>
    </row>
    <row r="26" spans="1:15" ht="15" thickBot="1" x14ac:dyDescent="0.2">
      <c r="A26" s="266"/>
      <c r="B26" s="139"/>
      <c r="C26" s="139"/>
      <c r="D26" s="139"/>
      <c r="E26" s="69"/>
      <c r="F26" s="69"/>
      <c r="G26" s="139"/>
      <c r="H26" s="140"/>
      <c r="I26" s="139"/>
      <c r="J26" s="139"/>
      <c r="K26" s="140"/>
      <c r="L26" s="139"/>
      <c r="M26" s="139"/>
      <c r="N26" s="140"/>
      <c r="O26" s="141"/>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sheetData>
  <mergeCells count="15">
    <mergeCell ref="L8:N8"/>
    <mergeCell ref="O8:O10"/>
    <mergeCell ref="I9:K9"/>
    <mergeCell ref="L9:N9"/>
    <mergeCell ref="A11:A26"/>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166</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167</v>
      </c>
      <c r="C10" s="48" t="s">
        <v>102</v>
      </c>
      <c r="D10" s="49"/>
      <c r="E10" s="54">
        <v>10</v>
      </c>
      <c r="F10" s="51" t="s">
        <v>29</v>
      </c>
      <c r="G10" s="84"/>
      <c r="H10" s="88" t="s">
        <v>102</v>
      </c>
      <c r="I10" s="49"/>
      <c r="J10" s="51">
        <f>ROUNDUP(E10*0.75,2)</f>
        <v>7.5</v>
      </c>
      <c r="K10" s="51" t="s">
        <v>29</v>
      </c>
      <c r="L10" s="51"/>
      <c r="M10" s="51">
        <f>ROUNDUP((R5*E10)+(R6*J10)+(R7*(E10*2)),2)</f>
        <v>0</v>
      </c>
      <c r="N10" s="92">
        <f>M10</f>
        <v>0</v>
      </c>
      <c r="O10" s="80" t="s">
        <v>168</v>
      </c>
      <c r="P10" s="52" t="s">
        <v>23</v>
      </c>
      <c r="Q10" s="49"/>
      <c r="R10" s="53">
        <v>110</v>
      </c>
      <c r="S10" s="54">
        <f>ROUNDUP(R10*0.75,2)</f>
        <v>82.5</v>
      </c>
      <c r="T10" s="76">
        <f>ROUNDUP((R5*R10)+(R6*S10)+(R7*(R10*2)),2)</f>
        <v>0</v>
      </c>
    </row>
    <row r="11" spans="1:21" ht="18.75" customHeight="1" x14ac:dyDescent="0.15">
      <c r="A11" s="242"/>
      <c r="B11" s="81"/>
      <c r="C11" s="55"/>
      <c r="D11" s="56"/>
      <c r="E11" s="57"/>
      <c r="F11" s="58"/>
      <c r="G11" s="85"/>
      <c r="H11" s="89"/>
      <c r="I11" s="56"/>
      <c r="J11" s="58"/>
      <c r="K11" s="58"/>
      <c r="L11" s="58"/>
      <c r="M11" s="58"/>
      <c r="N11" s="93"/>
      <c r="O11" s="81" t="s">
        <v>169</v>
      </c>
      <c r="P11" s="59" t="s">
        <v>39</v>
      </c>
      <c r="Q11" s="56" t="s">
        <v>40</v>
      </c>
      <c r="R11" s="60">
        <v>1</v>
      </c>
      <c r="S11" s="57">
        <f>ROUNDUP(R11*0.75,2)</f>
        <v>0.75</v>
      </c>
      <c r="T11" s="77">
        <f>ROUNDUP((R5*R11)+(R6*S11)+(R7*(R11*2)),2)</f>
        <v>0</v>
      </c>
    </row>
    <row r="12" spans="1:21" ht="18.75" customHeight="1" x14ac:dyDescent="0.15">
      <c r="A12" s="242"/>
      <c r="B12" s="81"/>
      <c r="C12" s="55"/>
      <c r="D12" s="56"/>
      <c r="E12" s="57"/>
      <c r="F12" s="58"/>
      <c r="G12" s="85"/>
      <c r="H12" s="89"/>
      <c r="I12" s="56"/>
      <c r="J12" s="58"/>
      <c r="K12" s="58"/>
      <c r="L12" s="58"/>
      <c r="M12" s="58"/>
      <c r="N12" s="93"/>
      <c r="O12" s="81" t="s">
        <v>28</v>
      </c>
      <c r="P12" s="59" t="s">
        <v>128</v>
      </c>
      <c r="Q12" s="56" t="s">
        <v>129</v>
      </c>
      <c r="R12" s="60">
        <v>0.5</v>
      </c>
      <c r="S12" s="57">
        <f>ROUNDUP(R12*0.75,2)</f>
        <v>0.38</v>
      </c>
      <c r="T12" s="77">
        <f>ROUNDUP((R5*R12)+(R6*S12)+(R7*(R12*2)),2)</f>
        <v>0</v>
      </c>
    </row>
    <row r="13" spans="1:21" ht="18.75" customHeight="1" x14ac:dyDescent="0.15">
      <c r="A13" s="242"/>
      <c r="B13" s="82"/>
      <c r="C13" s="61"/>
      <c r="D13" s="62"/>
      <c r="E13" s="63"/>
      <c r="F13" s="64"/>
      <c r="G13" s="86"/>
      <c r="H13" s="90"/>
      <c r="I13" s="62"/>
      <c r="J13" s="64"/>
      <c r="K13" s="64"/>
      <c r="L13" s="64"/>
      <c r="M13" s="64"/>
      <c r="N13" s="94"/>
      <c r="O13" s="82"/>
      <c r="P13" s="65"/>
      <c r="Q13" s="62"/>
      <c r="R13" s="66"/>
      <c r="S13" s="63"/>
      <c r="T13" s="78"/>
    </row>
    <row r="14" spans="1:21" ht="18.75" customHeight="1" x14ac:dyDescent="0.15">
      <c r="A14" s="242"/>
      <c r="B14" s="81" t="s">
        <v>265</v>
      </c>
      <c r="C14" s="55" t="s">
        <v>145</v>
      </c>
      <c r="D14" s="56"/>
      <c r="E14" s="57">
        <v>30</v>
      </c>
      <c r="F14" s="58" t="s">
        <v>29</v>
      </c>
      <c r="G14" s="85"/>
      <c r="H14" s="89" t="s">
        <v>145</v>
      </c>
      <c r="I14" s="56"/>
      <c r="J14" s="58">
        <f t="shared" ref="J14:J21" si="0">ROUNDUP(E14*0.75,2)</f>
        <v>22.5</v>
      </c>
      <c r="K14" s="58" t="s">
        <v>29</v>
      </c>
      <c r="L14" s="58"/>
      <c r="M14" s="58">
        <f>ROUNDUP((R5*E14)+(R6*J14)+(R7*(E14*2)),2)</f>
        <v>0</v>
      </c>
      <c r="N14" s="93">
        <f>M14</f>
        <v>0</v>
      </c>
      <c r="O14" s="81" t="s">
        <v>170</v>
      </c>
      <c r="P14" s="59" t="s">
        <v>54</v>
      </c>
      <c r="Q14" s="56"/>
      <c r="R14" s="60">
        <v>2</v>
      </c>
      <c r="S14" s="57">
        <f>ROUNDUP(R14*0.75,2)</f>
        <v>1.5</v>
      </c>
      <c r="T14" s="77">
        <f>ROUNDUP((R5*R14)+(R6*S14)+(R7*(R14*2)),2)</f>
        <v>0</v>
      </c>
    </row>
    <row r="15" spans="1:21" ht="18.75" customHeight="1" x14ac:dyDescent="0.15">
      <c r="A15" s="242"/>
      <c r="B15" s="101" t="s">
        <v>266</v>
      </c>
      <c r="C15" s="55" t="s">
        <v>56</v>
      </c>
      <c r="D15" s="56"/>
      <c r="E15" s="57">
        <v>40</v>
      </c>
      <c r="F15" s="58" t="s">
        <v>29</v>
      </c>
      <c r="G15" s="85"/>
      <c r="H15" s="89" t="s">
        <v>56</v>
      </c>
      <c r="I15" s="56"/>
      <c r="J15" s="58">
        <f t="shared" si="0"/>
        <v>30</v>
      </c>
      <c r="K15" s="58" t="s">
        <v>29</v>
      </c>
      <c r="L15" s="58"/>
      <c r="M15" s="58">
        <f>ROUNDUP((R5*E15)+(R6*J15)+(R7*(E15*2)),2)</f>
        <v>0</v>
      </c>
      <c r="N15" s="93">
        <f>ROUND(M15+(M15*6/100),2)</f>
        <v>0</v>
      </c>
      <c r="O15" s="81" t="s">
        <v>171</v>
      </c>
      <c r="P15" s="59" t="s">
        <v>55</v>
      </c>
      <c r="Q15" s="56"/>
      <c r="R15" s="60">
        <v>60</v>
      </c>
      <c r="S15" s="57">
        <f>ROUNDUP(R15*0.75,2)</f>
        <v>45</v>
      </c>
      <c r="T15" s="77">
        <f>ROUNDUP((R5*R15)+(R6*S15)+(R7*(R15*2)),2)</f>
        <v>0</v>
      </c>
    </row>
    <row r="16" spans="1:21" ht="18.75" customHeight="1" x14ac:dyDescent="0.15">
      <c r="A16" s="242"/>
      <c r="B16" s="81"/>
      <c r="C16" s="55" t="s">
        <v>96</v>
      </c>
      <c r="D16" s="56"/>
      <c r="E16" s="57">
        <v>30</v>
      </c>
      <c r="F16" s="58" t="s">
        <v>29</v>
      </c>
      <c r="G16" s="85"/>
      <c r="H16" s="89" t="s">
        <v>96</v>
      </c>
      <c r="I16" s="56"/>
      <c r="J16" s="58">
        <f t="shared" si="0"/>
        <v>22.5</v>
      </c>
      <c r="K16" s="58" t="s">
        <v>29</v>
      </c>
      <c r="L16" s="58"/>
      <c r="M16" s="58">
        <f>ROUNDUP((R5*E16)+(R6*J16)+(R7*(E16*2)),2)</f>
        <v>0</v>
      </c>
      <c r="N16" s="93">
        <f>ROUND(M16+(M16*10/100),2)</f>
        <v>0</v>
      </c>
      <c r="O16" s="100" t="s">
        <v>298</v>
      </c>
      <c r="P16" s="59"/>
      <c r="Q16" s="56"/>
      <c r="R16" s="60"/>
      <c r="S16" s="57"/>
      <c r="T16" s="77"/>
    </row>
    <row r="17" spans="1:20" ht="18.75" customHeight="1" x14ac:dyDescent="0.15">
      <c r="A17" s="242"/>
      <c r="B17" s="81"/>
      <c r="C17" s="55" t="s">
        <v>33</v>
      </c>
      <c r="D17" s="56"/>
      <c r="E17" s="57">
        <v>10</v>
      </c>
      <c r="F17" s="58" t="s">
        <v>29</v>
      </c>
      <c r="G17" s="85"/>
      <c r="H17" s="89" t="s">
        <v>33</v>
      </c>
      <c r="I17" s="56"/>
      <c r="J17" s="58">
        <f t="shared" si="0"/>
        <v>7.5</v>
      </c>
      <c r="K17" s="58" t="s">
        <v>29</v>
      </c>
      <c r="L17" s="58"/>
      <c r="M17" s="58">
        <f>ROUNDUP((R5*E17)+(R6*J17)+(R7*(E17*2)),2)</f>
        <v>0</v>
      </c>
      <c r="N17" s="93">
        <f>ROUND(M17+(M17*10/100),2)</f>
        <v>0</v>
      </c>
      <c r="O17" s="36" t="s">
        <v>267</v>
      </c>
      <c r="P17" s="59"/>
      <c r="Q17" s="56"/>
      <c r="R17" s="60"/>
      <c r="S17" s="57"/>
      <c r="T17" s="77"/>
    </row>
    <row r="18" spans="1:20" ht="18.75" customHeight="1" x14ac:dyDescent="0.15">
      <c r="A18" s="242"/>
      <c r="B18" s="81"/>
      <c r="C18" s="55" t="s">
        <v>108</v>
      </c>
      <c r="D18" s="56"/>
      <c r="E18" s="57">
        <v>10</v>
      </c>
      <c r="F18" s="58" t="s">
        <v>29</v>
      </c>
      <c r="G18" s="85"/>
      <c r="H18" s="89" t="s">
        <v>108</v>
      </c>
      <c r="I18" s="56"/>
      <c r="J18" s="58">
        <f t="shared" si="0"/>
        <v>7.5</v>
      </c>
      <c r="K18" s="58" t="s">
        <v>29</v>
      </c>
      <c r="L18" s="58"/>
      <c r="M18" s="58">
        <f>ROUNDUP((R5*E18)+(R6*J18)+(R7*(E18*2)),2)</f>
        <v>0</v>
      </c>
      <c r="N18" s="93">
        <f>M18</f>
        <v>0</v>
      </c>
      <c r="O18" s="81" t="s">
        <v>107</v>
      </c>
      <c r="P18" s="59"/>
      <c r="Q18" s="56"/>
      <c r="R18" s="60"/>
      <c r="S18" s="57"/>
      <c r="T18" s="77"/>
    </row>
    <row r="19" spans="1:20" ht="18.75" customHeight="1" x14ac:dyDescent="0.15">
      <c r="A19" s="242"/>
      <c r="B19" s="81"/>
      <c r="C19" s="55" t="s">
        <v>172</v>
      </c>
      <c r="D19" s="56" t="s">
        <v>129</v>
      </c>
      <c r="E19" s="57">
        <v>9</v>
      </c>
      <c r="F19" s="58" t="s">
        <v>29</v>
      </c>
      <c r="G19" s="85"/>
      <c r="H19" s="89" t="s">
        <v>172</v>
      </c>
      <c r="I19" s="56" t="s">
        <v>129</v>
      </c>
      <c r="J19" s="58">
        <f t="shared" si="0"/>
        <v>6.75</v>
      </c>
      <c r="K19" s="58" t="s">
        <v>29</v>
      </c>
      <c r="L19" s="58"/>
      <c r="M19" s="58">
        <f>ROUNDUP((R5*E19)+(R6*J19)+(R7*(E19*2)),2)</f>
        <v>0</v>
      </c>
      <c r="N19" s="93">
        <f>M19</f>
        <v>0</v>
      </c>
      <c r="O19" s="81" t="s">
        <v>95</v>
      </c>
      <c r="P19" s="59"/>
      <c r="Q19" s="56"/>
      <c r="R19" s="60"/>
      <c r="S19" s="57"/>
      <c r="T19" s="77"/>
    </row>
    <row r="20" spans="1:20" ht="18.75" customHeight="1" x14ac:dyDescent="0.15">
      <c r="A20" s="242"/>
      <c r="B20" s="81"/>
      <c r="C20" s="55" t="s">
        <v>47</v>
      </c>
      <c r="D20" s="56" t="s">
        <v>40</v>
      </c>
      <c r="E20" s="57">
        <v>40</v>
      </c>
      <c r="F20" s="58" t="s">
        <v>48</v>
      </c>
      <c r="G20" s="85"/>
      <c r="H20" s="89" t="s">
        <v>47</v>
      </c>
      <c r="I20" s="56" t="s">
        <v>40</v>
      </c>
      <c r="J20" s="58">
        <f t="shared" si="0"/>
        <v>30</v>
      </c>
      <c r="K20" s="58" t="s">
        <v>48</v>
      </c>
      <c r="L20" s="58"/>
      <c r="M20" s="58">
        <f>ROUNDUP((R5*E20)+(R6*J20)+(R7*(E20*2)),2)</f>
        <v>0</v>
      </c>
      <c r="N20" s="93">
        <f>M20</f>
        <v>0</v>
      </c>
      <c r="O20" s="36" t="s">
        <v>297</v>
      </c>
      <c r="P20" s="59"/>
      <c r="Q20" s="56"/>
      <c r="R20" s="60"/>
      <c r="S20" s="57"/>
      <c r="T20" s="77"/>
    </row>
    <row r="21" spans="1:20" ht="18.75" customHeight="1" x14ac:dyDescent="0.15">
      <c r="A21" s="242"/>
      <c r="B21" s="81"/>
      <c r="C21" s="55" t="s">
        <v>173</v>
      </c>
      <c r="D21" s="56"/>
      <c r="E21" s="57">
        <v>0.5</v>
      </c>
      <c r="F21" s="58" t="s">
        <v>29</v>
      </c>
      <c r="G21" s="85"/>
      <c r="H21" s="89" t="s">
        <v>173</v>
      </c>
      <c r="I21" s="56"/>
      <c r="J21" s="58">
        <f t="shared" si="0"/>
        <v>0.38</v>
      </c>
      <c r="K21" s="58" t="s">
        <v>29</v>
      </c>
      <c r="L21" s="58"/>
      <c r="M21" s="58">
        <f>ROUNDUP((R5*E21)+(R6*J21)+(R7*(E21*2)),2)</f>
        <v>0</v>
      </c>
      <c r="N21" s="93">
        <f>ROUND(M21+(M21*10/100),2)</f>
        <v>0</v>
      </c>
      <c r="O21" s="81" t="s">
        <v>242</v>
      </c>
      <c r="P21" s="59"/>
      <c r="Q21" s="56"/>
      <c r="R21" s="60"/>
      <c r="S21" s="57"/>
      <c r="T21" s="77"/>
    </row>
    <row r="22" spans="1:20" ht="18.75" customHeight="1" x14ac:dyDescent="0.15">
      <c r="A22" s="242"/>
      <c r="B22" s="82"/>
      <c r="C22" s="61"/>
      <c r="D22" s="62"/>
      <c r="E22" s="63"/>
      <c r="F22" s="64"/>
      <c r="G22" s="86"/>
      <c r="H22" s="90"/>
      <c r="I22" s="62"/>
      <c r="J22" s="64"/>
      <c r="K22" s="64"/>
      <c r="L22" s="64"/>
      <c r="M22" s="64"/>
      <c r="N22" s="94"/>
      <c r="O22" s="82" t="s">
        <v>28</v>
      </c>
      <c r="P22" s="65"/>
      <c r="Q22" s="62"/>
      <c r="R22" s="66"/>
      <c r="S22" s="63"/>
      <c r="T22" s="78"/>
    </row>
    <row r="23" spans="1:20" ht="18.75" customHeight="1" x14ac:dyDescent="0.15">
      <c r="A23" s="242"/>
      <c r="B23" s="81" t="s">
        <v>174</v>
      </c>
      <c r="C23" s="55" t="s">
        <v>87</v>
      </c>
      <c r="D23" s="56"/>
      <c r="E23" s="57">
        <v>20</v>
      </c>
      <c r="F23" s="58" t="s">
        <v>29</v>
      </c>
      <c r="G23" s="85"/>
      <c r="H23" s="89" t="s">
        <v>87</v>
      </c>
      <c r="I23" s="56"/>
      <c r="J23" s="58">
        <f>ROUNDUP(E23*0.75,2)</f>
        <v>15</v>
      </c>
      <c r="K23" s="58" t="s">
        <v>29</v>
      </c>
      <c r="L23" s="58"/>
      <c r="M23" s="58">
        <f>ROUNDUP((R5*E23)+(R6*J23)+(R7*(E23*2)),2)</f>
        <v>0</v>
      </c>
      <c r="N23" s="93">
        <f>ROUND(M23+(M23*3/100),2)</f>
        <v>0</v>
      </c>
      <c r="O23" s="81" t="s">
        <v>175</v>
      </c>
      <c r="P23" s="59" t="s">
        <v>50</v>
      </c>
      <c r="Q23" s="56"/>
      <c r="R23" s="60">
        <v>1</v>
      </c>
      <c r="S23" s="57">
        <f>ROUNDUP(R23*0.75,2)</f>
        <v>0.75</v>
      </c>
      <c r="T23" s="77">
        <f>ROUNDUP((R5*R23)+(R6*S23)+(R7*(R23*2)),2)</f>
        <v>0</v>
      </c>
    </row>
    <row r="24" spans="1:20" ht="18.75" customHeight="1" x14ac:dyDescent="0.15">
      <c r="A24" s="242"/>
      <c r="B24" s="81"/>
      <c r="C24" s="55" t="s">
        <v>101</v>
      </c>
      <c r="D24" s="56"/>
      <c r="E24" s="57">
        <v>20</v>
      </c>
      <c r="F24" s="58" t="s">
        <v>29</v>
      </c>
      <c r="G24" s="85"/>
      <c r="H24" s="89" t="s">
        <v>101</v>
      </c>
      <c r="I24" s="56"/>
      <c r="J24" s="58">
        <f>ROUNDUP(E24*0.75,2)</f>
        <v>15</v>
      </c>
      <c r="K24" s="58" t="s">
        <v>29</v>
      </c>
      <c r="L24" s="58"/>
      <c r="M24" s="58">
        <f>ROUNDUP((R5*E24)+(R6*J24)+(R7*(E24*2)),2)</f>
        <v>0</v>
      </c>
      <c r="N24" s="93">
        <f>ROUND(M24+(M24*2/100),2)</f>
        <v>0</v>
      </c>
      <c r="O24" s="81" t="s">
        <v>176</v>
      </c>
      <c r="P24" s="59" t="s">
        <v>41</v>
      </c>
      <c r="Q24" s="56"/>
      <c r="R24" s="60">
        <v>0.1</v>
      </c>
      <c r="S24" s="57">
        <f>ROUNDUP(R24*0.75,2)</f>
        <v>0.08</v>
      </c>
      <c r="T24" s="77">
        <f>ROUNDUP((R5*R24)+(R6*S24)+(R7*(R24*2)),2)</f>
        <v>0</v>
      </c>
    </row>
    <row r="25" spans="1:20" ht="18.75" customHeight="1" x14ac:dyDescent="0.15">
      <c r="A25" s="242"/>
      <c r="B25" s="81"/>
      <c r="C25" s="55"/>
      <c r="D25" s="56"/>
      <c r="E25" s="57"/>
      <c r="F25" s="58"/>
      <c r="G25" s="85"/>
      <c r="H25" s="89"/>
      <c r="I25" s="56"/>
      <c r="J25" s="58"/>
      <c r="K25" s="58"/>
      <c r="L25" s="58"/>
      <c r="M25" s="58"/>
      <c r="N25" s="93"/>
      <c r="O25" s="81" t="s">
        <v>28</v>
      </c>
      <c r="P25" s="59" t="s">
        <v>88</v>
      </c>
      <c r="Q25" s="56"/>
      <c r="R25" s="60">
        <v>2</v>
      </c>
      <c r="S25" s="57">
        <f>ROUNDUP(R25*0.75,2)</f>
        <v>1.5</v>
      </c>
      <c r="T25" s="77">
        <f>ROUNDUP((R5*R25)+(R6*S25)+(R7*(R25*2)),2)</f>
        <v>0</v>
      </c>
    </row>
    <row r="26" spans="1:20" ht="18.75" customHeight="1" x14ac:dyDescent="0.15">
      <c r="A26" s="242"/>
      <c r="B26" s="81"/>
      <c r="C26" s="55"/>
      <c r="D26" s="56"/>
      <c r="E26" s="57"/>
      <c r="F26" s="58"/>
      <c r="G26" s="85"/>
      <c r="H26" s="89"/>
      <c r="I26" s="56"/>
      <c r="J26" s="58"/>
      <c r="K26" s="58"/>
      <c r="L26" s="58"/>
      <c r="M26" s="58"/>
      <c r="N26" s="93"/>
      <c r="O26" s="81"/>
      <c r="P26" s="59" t="s">
        <v>54</v>
      </c>
      <c r="Q26" s="56"/>
      <c r="R26" s="60">
        <v>2</v>
      </c>
      <c r="S26" s="57">
        <f>ROUNDUP(R26*0.75,2)</f>
        <v>1.5</v>
      </c>
      <c r="T26" s="77">
        <f>ROUNDUP((R5*R26)+(R6*S26)+(R7*(R26*2)),2)</f>
        <v>0</v>
      </c>
    </row>
    <row r="27" spans="1:20" ht="18.75" customHeight="1" x14ac:dyDescent="0.15">
      <c r="A27" s="242"/>
      <c r="B27" s="82"/>
      <c r="C27" s="61"/>
      <c r="D27" s="62"/>
      <c r="E27" s="63"/>
      <c r="F27" s="64"/>
      <c r="G27" s="86"/>
      <c r="H27" s="90"/>
      <c r="I27" s="62"/>
      <c r="J27" s="64"/>
      <c r="K27" s="64"/>
      <c r="L27" s="64"/>
      <c r="M27" s="64"/>
      <c r="N27" s="94"/>
      <c r="O27" s="82"/>
      <c r="P27" s="65"/>
      <c r="Q27" s="62"/>
      <c r="R27" s="66"/>
      <c r="S27" s="63"/>
      <c r="T27" s="78"/>
    </row>
    <row r="28" spans="1:20" ht="18.75" customHeight="1" x14ac:dyDescent="0.15">
      <c r="A28" s="242"/>
      <c r="B28" s="81" t="s">
        <v>177</v>
      </c>
      <c r="C28" s="55" t="s">
        <v>62</v>
      </c>
      <c r="D28" s="56"/>
      <c r="E28" s="75">
        <v>0.125</v>
      </c>
      <c r="F28" s="58" t="s">
        <v>38</v>
      </c>
      <c r="G28" s="85"/>
      <c r="H28" s="89" t="s">
        <v>62</v>
      </c>
      <c r="I28" s="56"/>
      <c r="J28" s="58">
        <f>ROUNDUP(E28*0.75,2)</f>
        <v>9.9999999999999992E-2</v>
      </c>
      <c r="K28" s="58" t="s">
        <v>38</v>
      </c>
      <c r="L28" s="58"/>
      <c r="M28" s="58">
        <f>ROUNDUP((R5*E28)+(R6*J28)+(R7*(E28*2)),2)</f>
        <v>0</v>
      </c>
      <c r="N28" s="93">
        <f>M28</f>
        <v>0</v>
      </c>
      <c r="O28" s="81" t="s">
        <v>61</v>
      </c>
      <c r="P28" s="59"/>
      <c r="Q28" s="56"/>
      <c r="R28" s="60"/>
      <c r="S28" s="57"/>
      <c r="T28" s="77"/>
    </row>
    <row r="29" spans="1:20" ht="18.75" customHeight="1" thickBot="1" x14ac:dyDescent="0.2">
      <c r="A29" s="243"/>
      <c r="B29" s="83"/>
      <c r="C29" s="68"/>
      <c r="D29" s="69"/>
      <c r="E29" s="70"/>
      <c r="F29" s="71"/>
      <c r="G29" s="87"/>
      <c r="H29" s="91"/>
      <c r="I29" s="69"/>
      <c r="J29" s="71"/>
      <c r="K29" s="71"/>
      <c r="L29" s="71"/>
      <c r="M29" s="71"/>
      <c r="N29" s="95"/>
      <c r="O29" s="83"/>
      <c r="P29" s="72"/>
      <c r="Q29" s="69"/>
      <c r="R29" s="73"/>
      <c r="S29" s="70"/>
      <c r="T29" s="79"/>
    </row>
  </sheetData>
  <mergeCells count="5">
    <mergeCell ref="H1:O1"/>
    <mergeCell ref="A2:T2"/>
    <mergeCell ref="Q3:T3"/>
    <mergeCell ref="A8:F8"/>
    <mergeCell ref="A10:A29"/>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382</v>
      </c>
      <c r="B7" s="249"/>
      <c r="C7" s="249"/>
      <c r="D7" s="114"/>
      <c r="E7" s="250" t="s">
        <v>359</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383</v>
      </c>
      <c r="C11" s="126" t="s">
        <v>346</v>
      </c>
      <c r="D11" s="126"/>
      <c r="E11" s="49"/>
      <c r="F11" s="49"/>
      <c r="G11" s="126"/>
      <c r="H11" s="127" t="s">
        <v>347</v>
      </c>
      <c r="I11" s="126" t="s">
        <v>383</v>
      </c>
      <c r="J11" s="126" t="s">
        <v>346</v>
      </c>
      <c r="K11" s="127" t="s">
        <v>348</v>
      </c>
      <c r="L11" s="126" t="s">
        <v>384</v>
      </c>
      <c r="M11" s="126" t="s">
        <v>346</v>
      </c>
      <c r="N11" s="127">
        <v>30</v>
      </c>
      <c r="O11" s="128"/>
    </row>
    <row r="12" spans="1:21" ht="14.25" x14ac:dyDescent="0.15">
      <c r="A12" s="265"/>
      <c r="B12" s="132"/>
      <c r="C12" s="132" t="s">
        <v>102</v>
      </c>
      <c r="D12" s="132"/>
      <c r="E12" s="56"/>
      <c r="F12" s="56"/>
      <c r="G12" s="132"/>
      <c r="H12" s="135">
        <v>5</v>
      </c>
      <c r="I12" s="132"/>
      <c r="J12" s="132" t="s">
        <v>102</v>
      </c>
      <c r="K12" s="135">
        <v>5</v>
      </c>
      <c r="L12" s="132"/>
      <c r="M12" s="132" t="s">
        <v>102</v>
      </c>
      <c r="N12" s="135">
        <v>5</v>
      </c>
      <c r="O12" s="134"/>
    </row>
    <row r="13" spans="1:21" ht="14.25" x14ac:dyDescent="0.15">
      <c r="A13" s="265"/>
      <c r="B13" s="129"/>
      <c r="C13" s="129"/>
      <c r="D13" s="129"/>
      <c r="E13" s="62"/>
      <c r="F13" s="62"/>
      <c r="G13" s="129"/>
      <c r="H13" s="130"/>
      <c r="I13" s="129"/>
      <c r="J13" s="129"/>
      <c r="K13" s="130"/>
      <c r="L13" s="129"/>
      <c r="M13" s="129"/>
      <c r="N13" s="130"/>
      <c r="O13" s="131"/>
    </row>
    <row r="14" spans="1:21" ht="14.25" x14ac:dyDescent="0.15">
      <c r="A14" s="265"/>
      <c r="B14" s="132" t="s">
        <v>385</v>
      </c>
      <c r="C14" s="132" t="s">
        <v>145</v>
      </c>
      <c r="D14" s="132"/>
      <c r="E14" s="56"/>
      <c r="F14" s="56"/>
      <c r="G14" s="132"/>
      <c r="H14" s="135">
        <v>10</v>
      </c>
      <c r="I14" s="132" t="s">
        <v>386</v>
      </c>
      <c r="J14" s="136" t="s">
        <v>353</v>
      </c>
      <c r="K14" s="135">
        <v>5</v>
      </c>
      <c r="L14" s="132" t="s">
        <v>387</v>
      </c>
      <c r="M14" s="132" t="s">
        <v>56</v>
      </c>
      <c r="N14" s="135">
        <v>10</v>
      </c>
      <c r="O14" s="134"/>
    </row>
    <row r="15" spans="1:21" ht="14.25" x14ac:dyDescent="0.15">
      <c r="A15" s="265"/>
      <c r="B15" s="132"/>
      <c r="C15" s="132" t="s">
        <v>56</v>
      </c>
      <c r="D15" s="132"/>
      <c r="E15" s="56"/>
      <c r="F15" s="56"/>
      <c r="G15" s="132"/>
      <c r="H15" s="135">
        <v>20</v>
      </c>
      <c r="I15" s="132"/>
      <c r="J15" s="132" t="s">
        <v>56</v>
      </c>
      <c r="K15" s="135">
        <v>10</v>
      </c>
      <c r="L15" s="132"/>
      <c r="M15" s="132" t="s">
        <v>96</v>
      </c>
      <c r="N15" s="135">
        <v>5</v>
      </c>
      <c r="O15" s="134"/>
    </row>
    <row r="16" spans="1:21" ht="14.25" x14ac:dyDescent="0.15">
      <c r="A16" s="265"/>
      <c r="B16" s="132"/>
      <c r="C16" s="132" t="s">
        <v>96</v>
      </c>
      <c r="D16" s="132"/>
      <c r="E16" s="56"/>
      <c r="F16" s="56"/>
      <c r="G16" s="132"/>
      <c r="H16" s="135">
        <v>10</v>
      </c>
      <c r="I16" s="132"/>
      <c r="J16" s="132" t="s">
        <v>96</v>
      </c>
      <c r="K16" s="135">
        <v>10</v>
      </c>
      <c r="L16" s="132"/>
      <c r="M16" s="132" t="s">
        <v>33</v>
      </c>
      <c r="N16" s="135">
        <v>5</v>
      </c>
      <c r="O16" s="134"/>
    </row>
    <row r="17" spans="1:15" ht="14.25" x14ac:dyDescent="0.15">
      <c r="A17" s="265"/>
      <c r="B17" s="132"/>
      <c r="C17" s="132" t="s">
        <v>33</v>
      </c>
      <c r="D17" s="132"/>
      <c r="E17" s="56"/>
      <c r="F17" s="56"/>
      <c r="G17" s="132"/>
      <c r="H17" s="135">
        <v>5</v>
      </c>
      <c r="I17" s="132"/>
      <c r="J17" s="132" t="s">
        <v>33</v>
      </c>
      <c r="K17" s="135">
        <v>5</v>
      </c>
      <c r="L17" s="129"/>
      <c r="M17" s="129"/>
      <c r="N17" s="130"/>
      <c r="O17" s="131"/>
    </row>
    <row r="18" spans="1:15" ht="14.25" x14ac:dyDescent="0.15">
      <c r="A18" s="265"/>
      <c r="B18" s="132"/>
      <c r="C18" s="132" t="s">
        <v>108</v>
      </c>
      <c r="D18" s="132"/>
      <c r="E18" s="56"/>
      <c r="F18" s="56"/>
      <c r="G18" s="132"/>
      <c r="H18" s="135">
        <v>5</v>
      </c>
      <c r="I18" s="132"/>
      <c r="J18" s="132" t="s">
        <v>47</v>
      </c>
      <c r="K18" s="135">
        <v>15</v>
      </c>
      <c r="L18" s="132" t="s">
        <v>388</v>
      </c>
      <c r="M18" s="132" t="s">
        <v>87</v>
      </c>
      <c r="N18" s="135">
        <v>10</v>
      </c>
      <c r="O18" s="134"/>
    </row>
    <row r="19" spans="1:15" ht="14.25" x14ac:dyDescent="0.15">
      <c r="A19" s="265"/>
      <c r="B19" s="132"/>
      <c r="C19" s="132" t="s">
        <v>47</v>
      </c>
      <c r="D19" s="132"/>
      <c r="E19" s="56" t="s">
        <v>40</v>
      </c>
      <c r="F19" s="56"/>
      <c r="G19" s="132"/>
      <c r="H19" s="135">
        <v>20</v>
      </c>
      <c r="I19" s="132"/>
      <c r="J19" s="132"/>
      <c r="K19" s="135"/>
      <c r="L19" s="129"/>
      <c r="M19" s="129"/>
      <c r="N19" s="130"/>
      <c r="O19" s="131"/>
    </row>
    <row r="20" spans="1:15" ht="14.25" x14ac:dyDescent="0.15">
      <c r="A20" s="265"/>
      <c r="B20" s="132"/>
      <c r="C20" s="132"/>
      <c r="D20" s="132"/>
      <c r="E20" s="56"/>
      <c r="F20" s="56"/>
      <c r="G20" s="132" t="s">
        <v>55</v>
      </c>
      <c r="H20" s="135" t="s">
        <v>354</v>
      </c>
      <c r="I20" s="132"/>
      <c r="J20" s="132"/>
      <c r="K20" s="135"/>
      <c r="L20" s="132" t="s">
        <v>389</v>
      </c>
      <c r="M20" s="132" t="s">
        <v>62</v>
      </c>
      <c r="N20" s="144">
        <v>0.08</v>
      </c>
      <c r="O20" s="134"/>
    </row>
    <row r="21" spans="1:15" ht="14.25" x14ac:dyDescent="0.15">
      <c r="A21" s="265"/>
      <c r="B21" s="132"/>
      <c r="C21" s="132"/>
      <c r="D21" s="132"/>
      <c r="E21" s="56"/>
      <c r="F21" s="56"/>
      <c r="G21" s="132" t="s">
        <v>41</v>
      </c>
      <c r="H21" s="135" t="s">
        <v>356</v>
      </c>
      <c r="I21" s="129"/>
      <c r="J21" s="129"/>
      <c r="K21" s="130"/>
      <c r="L21" s="132"/>
      <c r="M21" s="132"/>
      <c r="N21" s="135"/>
      <c r="O21" s="134"/>
    </row>
    <row r="22" spans="1:15" ht="14.25" x14ac:dyDescent="0.15">
      <c r="A22" s="265"/>
      <c r="B22" s="129"/>
      <c r="C22" s="129"/>
      <c r="D22" s="129"/>
      <c r="E22" s="62"/>
      <c r="F22" s="62"/>
      <c r="G22" s="129"/>
      <c r="H22" s="130"/>
      <c r="I22" s="132" t="s">
        <v>174</v>
      </c>
      <c r="J22" s="132" t="s">
        <v>87</v>
      </c>
      <c r="K22" s="135">
        <v>10</v>
      </c>
      <c r="L22" s="132"/>
      <c r="M22" s="132"/>
      <c r="N22" s="135"/>
      <c r="O22" s="134"/>
    </row>
    <row r="23" spans="1:15" ht="14.25" x14ac:dyDescent="0.15">
      <c r="A23" s="265"/>
      <c r="B23" s="132" t="s">
        <v>174</v>
      </c>
      <c r="C23" s="132" t="s">
        <v>87</v>
      </c>
      <c r="D23" s="132"/>
      <c r="E23" s="56"/>
      <c r="F23" s="137"/>
      <c r="G23" s="132"/>
      <c r="H23" s="135">
        <v>10</v>
      </c>
      <c r="I23" s="132"/>
      <c r="J23" s="132" t="s">
        <v>101</v>
      </c>
      <c r="K23" s="135">
        <v>5</v>
      </c>
      <c r="L23" s="132"/>
      <c r="M23" s="132"/>
      <c r="N23" s="135"/>
      <c r="O23" s="134"/>
    </row>
    <row r="24" spans="1:15" ht="14.25" x14ac:dyDescent="0.15">
      <c r="A24" s="265"/>
      <c r="B24" s="132"/>
      <c r="C24" s="132" t="s">
        <v>101</v>
      </c>
      <c r="D24" s="132"/>
      <c r="E24" s="56"/>
      <c r="F24" s="56"/>
      <c r="G24" s="132"/>
      <c r="H24" s="135">
        <v>5</v>
      </c>
      <c r="I24" s="129"/>
      <c r="J24" s="129"/>
      <c r="K24" s="130"/>
      <c r="L24" s="132"/>
      <c r="M24" s="132"/>
      <c r="N24" s="135"/>
      <c r="O24" s="134"/>
    </row>
    <row r="25" spans="1:15" ht="14.25" x14ac:dyDescent="0.15">
      <c r="A25" s="265"/>
      <c r="B25" s="129"/>
      <c r="C25" s="129"/>
      <c r="D25" s="129"/>
      <c r="E25" s="62"/>
      <c r="F25" s="62"/>
      <c r="G25" s="129"/>
      <c r="H25" s="130"/>
      <c r="I25" s="132" t="s">
        <v>60</v>
      </c>
      <c r="J25" s="132" t="s">
        <v>62</v>
      </c>
      <c r="K25" s="133">
        <v>0.1</v>
      </c>
      <c r="L25" s="132"/>
      <c r="M25" s="132"/>
      <c r="N25" s="135"/>
      <c r="O25" s="134"/>
    </row>
    <row r="26" spans="1:15" ht="14.25" x14ac:dyDescent="0.15">
      <c r="A26" s="265"/>
      <c r="B26" s="132" t="s">
        <v>60</v>
      </c>
      <c r="C26" s="132" t="s">
        <v>62</v>
      </c>
      <c r="D26" s="132"/>
      <c r="E26" s="56"/>
      <c r="F26" s="56"/>
      <c r="G26" s="132"/>
      <c r="H26" s="133">
        <v>0.1</v>
      </c>
      <c r="I26" s="132"/>
      <c r="J26" s="132"/>
      <c r="K26" s="135"/>
      <c r="L26" s="132"/>
      <c r="M26" s="132"/>
      <c r="N26" s="135"/>
      <c r="O26" s="134"/>
    </row>
    <row r="27" spans="1:15" ht="15" thickBot="1" x14ac:dyDescent="0.2">
      <c r="A27" s="266"/>
      <c r="B27" s="139"/>
      <c r="C27" s="139"/>
      <c r="D27" s="139"/>
      <c r="E27" s="69"/>
      <c r="F27" s="69"/>
      <c r="G27" s="139"/>
      <c r="H27" s="140"/>
      <c r="I27" s="139"/>
      <c r="J27" s="139"/>
      <c r="K27" s="140"/>
      <c r="L27" s="139"/>
      <c r="M27" s="139"/>
      <c r="N27" s="140"/>
      <c r="O27" s="141"/>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row r="57" spans="2:14" ht="14.25" x14ac:dyDescent="0.15">
      <c r="B57" s="105"/>
      <c r="C57" s="105"/>
      <c r="D57" s="105"/>
      <c r="G57" s="105"/>
      <c r="H57" s="142"/>
      <c r="I57" s="105"/>
      <c r="J57" s="105"/>
      <c r="K57" s="142"/>
      <c r="L57" s="105"/>
      <c r="M57" s="105"/>
      <c r="N57" s="142"/>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178</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23</v>
      </c>
      <c r="C10" s="48"/>
      <c r="D10" s="49"/>
      <c r="E10" s="54"/>
      <c r="F10" s="51"/>
      <c r="G10" s="84"/>
      <c r="H10" s="88"/>
      <c r="I10" s="49"/>
      <c r="J10" s="51"/>
      <c r="K10" s="51"/>
      <c r="L10" s="51"/>
      <c r="M10" s="51"/>
      <c r="N10" s="92"/>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270</v>
      </c>
      <c r="C12" s="55" t="s">
        <v>51</v>
      </c>
      <c r="D12" s="56"/>
      <c r="E12" s="57">
        <v>1</v>
      </c>
      <c r="F12" s="58" t="s">
        <v>53</v>
      </c>
      <c r="G12" s="85" t="s">
        <v>52</v>
      </c>
      <c r="H12" s="89" t="s">
        <v>51</v>
      </c>
      <c r="I12" s="56"/>
      <c r="J12" s="58">
        <f>ROUNDUP(E12*0.75,2)</f>
        <v>0.75</v>
      </c>
      <c r="K12" s="58" t="s">
        <v>53</v>
      </c>
      <c r="L12" s="58" t="s">
        <v>52</v>
      </c>
      <c r="M12" s="58">
        <f>ROUNDUP((R5*E12)+(R6*J12)+(R7*(E12*2)),2)</f>
        <v>0</v>
      </c>
      <c r="N12" s="93">
        <f>M12</f>
        <v>0</v>
      </c>
      <c r="O12" s="100" t="s">
        <v>268</v>
      </c>
      <c r="P12" s="59" t="s">
        <v>31</v>
      </c>
      <c r="Q12" s="56"/>
      <c r="R12" s="60">
        <v>3</v>
      </c>
      <c r="S12" s="57">
        <f t="shared" ref="S12:S17" si="0">ROUNDUP(R12*0.75,2)</f>
        <v>2.25</v>
      </c>
      <c r="T12" s="77">
        <f>ROUNDUP((R5*R12)+(R6*S12)+(R7*(R12*2)),2)</f>
        <v>0</v>
      </c>
    </row>
    <row r="13" spans="1:21" ht="18.75" customHeight="1" x14ac:dyDescent="0.15">
      <c r="A13" s="242"/>
      <c r="B13" s="101" t="s">
        <v>271</v>
      </c>
      <c r="C13" s="55" t="s">
        <v>133</v>
      </c>
      <c r="D13" s="56"/>
      <c r="E13" s="57">
        <v>20</v>
      </c>
      <c r="F13" s="58" t="s">
        <v>29</v>
      </c>
      <c r="G13" s="85"/>
      <c r="H13" s="89" t="s">
        <v>133</v>
      </c>
      <c r="I13" s="56"/>
      <c r="J13" s="58">
        <f>ROUNDUP(E13*0.75,2)</f>
        <v>15</v>
      </c>
      <c r="K13" s="58" t="s">
        <v>29</v>
      </c>
      <c r="L13" s="58"/>
      <c r="M13" s="58">
        <f>ROUNDUP((R5*E13)+(R6*J13)+(R7*(E13*2)),2)</f>
        <v>0</v>
      </c>
      <c r="N13" s="93">
        <f>ROUND(M13+(M13*20/100),2)</f>
        <v>0</v>
      </c>
      <c r="O13" s="36" t="s">
        <v>269</v>
      </c>
      <c r="P13" s="59" t="s">
        <v>54</v>
      </c>
      <c r="Q13" s="56"/>
      <c r="R13" s="60">
        <v>3</v>
      </c>
      <c r="S13" s="57">
        <f t="shared" si="0"/>
        <v>2.25</v>
      </c>
      <c r="T13" s="77">
        <f>ROUNDUP((R5*R13)+(R6*S13)+(R7*(R13*2)),2)</f>
        <v>0</v>
      </c>
    </row>
    <row r="14" spans="1:21" ht="18.75" customHeight="1" x14ac:dyDescent="0.15">
      <c r="A14" s="242"/>
      <c r="B14" s="81"/>
      <c r="C14" s="55" t="s">
        <v>180</v>
      </c>
      <c r="D14" s="56"/>
      <c r="E14" s="57">
        <v>3</v>
      </c>
      <c r="F14" s="58" t="s">
        <v>29</v>
      </c>
      <c r="G14" s="85"/>
      <c r="H14" s="89" t="s">
        <v>180</v>
      </c>
      <c r="I14" s="56"/>
      <c r="J14" s="58">
        <f>ROUNDUP(E14*0.75,2)</f>
        <v>2.25</v>
      </c>
      <c r="K14" s="58" t="s">
        <v>29</v>
      </c>
      <c r="L14" s="58"/>
      <c r="M14" s="58">
        <f>ROUNDUP((R5*E14)+(R6*J14)+(R7*(E14*2)),2)</f>
        <v>0</v>
      </c>
      <c r="N14" s="93">
        <f>ROUND(M14+(M14*9/100),2)</f>
        <v>0</v>
      </c>
      <c r="O14" s="81" t="s">
        <v>179</v>
      </c>
      <c r="P14" s="59" t="s">
        <v>55</v>
      </c>
      <c r="Q14" s="56"/>
      <c r="R14" s="60">
        <v>3</v>
      </c>
      <c r="S14" s="57">
        <f t="shared" si="0"/>
        <v>2.25</v>
      </c>
      <c r="T14" s="77">
        <f>ROUNDUP((R5*R14)+(R6*S14)+(R7*(R14*2)),2)</f>
        <v>0</v>
      </c>
    </row>
    <row r="15" spans="1:21" ht="18.75" customHeight="1" x14ac:dyDescent="0.15">
      <c r="A15" s="242"/>
      <c r="B15" s="81"/>
      <c r="C15" s="55" t="s">
        <v>109</v>
      </c>
      <c r="D15" s="56"/>
      <c r="E15" s="57">
        <v>2</v>
      </c>
      <c r="F15" s="58" t="s">
        <v>29</v>
      </c>
      <c r="G15" s="85"/>
      <c r="H15" s="89" t="s">
        <v>109</v>
      </c>
      <c r="I15" s="56"/>
      <c r="J15" s="58">
        <f>ROUNDUP(E15*0.75,2)</f>
        <v>1.5</v>
      </c>
      <c r="K15" s="58" t="s">
        <v>29</v>
      </c>
      <c r="L15" s="58"/>
      <c r="M15" s="58">
        <f>ROUNDUP((R5*E15)+(R6*J15)+(R7*(E15*2)),2)</f>
        <v>0</v>
      </c>
      <c r="N15" s="93">
        <f>M15</f>
        <v>0</v>
      </c>
      <c r="O15" s="81" t="s">
        <v>299</v>
      </c>
      <c r="P15" s="59" t="s">
        <v>26</v>
      </c>
      <c r="Q15" s="56" t="s">
        <v>27</v>
      </c>
      <c r="R15" s="60">
        <v>1.5</v>
      </c>
      <c r="S15" s="57">
        <f t="shared" si="0"/>
        <v>1.1300000000000001</v>
      </c>
      <c r="T15" s="77">
        <f>ROUNDUP((R5*R15)+(R6*S15)+(R7*(R15*2)),2)</f>
        <v>0</v>
      </c>
    </row>
    <row r="16" spans="1:21" ht="18.75" customHeight="1" x14ac:dyDescent="0.15">
      <c r="A16" s="242"/>
      <c r="B16" s="81"/>
      <c r="C16" s="55"/>
      <c r="D16" s="56"/>
      <c r="E16" s="57"/>
      <c r="F16" s="58"/>
      <c r="G16" s="85"/>
      <c r="H16" s="89"/>
      <c r="I16" s="56"/>
      <c r="J16" s="58"/>
      <c r="K16" s="58"/>
      <c r="L16" s="58"/>
      <c r="M16" s="58"/>
      <c r="N16" s="93"/>
      <c r="O16" s="81" t="s">
        <v>28</v>
      </c>
      <c r="P16" s="59" t="s">
        <v>50</v>
      </c>
      <c r="Q16" s="56"/>
      <c r="R16" s="60">
        <v>2</v>
      </c>
      <c r="S16" s="57">
        <f t="shared" si="0"/>
        <v>1.5</v>
      </c>
      <c r="T16" s="77">
        <f>ROUNDUP((R5*R16)+(R6*S16)+(R7*(R16*2)),2)</f>
        <v>0</v>
      </c>
    </row>
    <row r="17" spans="1:20" ht="18.75" customHeight="1" x14ac:dyDescent="0.15">
      <c r="A17" s="242"/>
      <c r="B17" s="81"/>
      <c r="C17" s="55"/>
      <c r="D17" s="56"/>
      <c r="E17" s="57"/>
      <c r="F17" s="58"/>
      <c r="G17" s="85"/>
      <c r="H17" s="89"/>
      <c r="I17" s="56"/>
      <c r="J17" s="58"/>
      <c r="K17" s="58"/>
      <c r="L17" s="58"/>
      <c r="M17" s="58"/>
      <c r="N17" s="93"/>
      <c r="O17" s="81"/>
      <c r="P17" s="59" t="s">
        <v>34</v>
      </c>
      <c r="Q17" s="56"/>
      <c r="R17" s="60">
        <v>1</v>
      </c>
      <c r="S17" s="57">
        <f t="shared" si="0"/>
        <v>0.75</v>
      </c>
      <c r="T17" s="77">
        <f>ROUNDUP((R5*R17)+(R6*S17)+(R7*(R17*2)),2)</f>
        <v>0</v>
      </c>
    </row>
    <row r="18" spans="1:20" ht="18.75" customHeight="1" x14ac:dyDescent="0.15">
      <c r="A18" s="242"/>
      <c r="B18" s="82"/>
      <c r="C18" s="61"/>
      <c r="D18" s="62"/>
      <c r="E18" s="63"/>
      <c r="F18" s="64"/>
      <c r="G18" s="86"/>
      <c r="H18" s="90"/>
      <c r="I18" s="62"/>
      <c r="J18" s="64"/>
      <c r="K18" s="64"/>
      <c r="L18" s="64"/>
      <c r="M18" s="64"/>
      <c r="N18" s="94"/>
      <c r="O18" s="82"/>
      <c r="P18" s="65"/>
      <c r="Q18" s="62"/>
      <c r="R18" s="66"/>
      <c r="S18" s="63"/>
      <c r="T18" s="78"/>
    </row>
    <row r="19" spans="1:20" ht="18.75" customHeight="1" x14ac:dyDescent="0.15">
      <c r="A19" s="242"/>
      <c r="B19" s="81" t="s">
        <v>181</v>
      </c>
      <c r="C19" s="55" t="s">
        <v>35</v>
      </c>
      <c r="D19" s="56"/>
      <c r="E19" s="57">
        <v>30</v>
      </c>
      <c r="F19" s="58" t="s">
        <v>29</v>
      </c>
      <c r="G19" s="85"/>
      <c r="H19" s="89" t="s">
        <v>35</v>
      </c>
      <c r="I19" s="56"/>
      <c r="J19" s="58">
        <f>ROUNDUP(E19*0.75,2)</f>
        <v>22.5</v>
      </c>
      <c r="K19" s="58" t="s">
        <v>29</v>
      </c>
      <c r="L19" s="58"/>
      <c r="M19" s="58">
        <f>ROUNDUP((R5*E19)+(R6*J19)+(R7*(E19*2)),2)</f>
        <v>0</v>
      </c>
      <c r="N19" s="93">
        <f>ROUND(M19+(M19*15/100),2)</f>
        <v>0</v>
      </c>
      <c r="O19" s="81" t="s">
        <v>182</v>
      </c>
      <c r="P19" s="59" t="s">
        <v>50</v>
      </c>
      <c r="Q19" s="56"/>
      <c r="R19" s="60">
        <v>1</v>
      </c>
      <c r="S19" s="57">
        <f>ROUNDUP(R19*0.75,2)</f>
        <v>0.75</v>
      </c>
      <c r="T19" s="77">
        <f>ROUNDUP((R5*R19)+(R6*S19)+(R7*(R19*2)),2)</f>
        <v>0</v>
      </c>
    </row>
    <row r="20" spans="1:20" ht="18.75" customHeight="1" x14ac:dyDescent="0.15">
      <c r="A20" s="242"/>
      <c r="B20" s="81"/>
      <c r="C20" s="55" t="s">
        <v>33</v>
      </c>
      <c r="D20" s="56"/>
      <c r="E20" s="57">
        <v>10</v>
      </c>
      <c r="F20" s="58" t="s">
        <v>29</v>
      </c>
      <c r="G20" s="85"/>
      <c r="H20" s="89" t="s">
        <v>33</v>
      </c>
      <c r="I20" s="56"/>
      <c r="J20" s="58">
        <f>ROUNDUP(E20*0.75,2)</f>
        <v>7.5</v>
      </c>
      <c r="K20" s="58" t="s">
        <v>29</v>
      </c>
      <c r="L20" s="58"/>
      <c r="M20" s="58">
        <f>ROUNDUP((R5*E20)+(R6*J20)+(R7*(E20*2)),2)</f>
        <v>0</v>
      </c>
      <c r="N20" s="93">
        <f>ROUND(M20+(M20*10/100),2)</f>
        <v>0</v>
      </c>
      <c r="O20" s="100" t="s">
        <v>329</v>
      </c>
      <c r="P20" s="59" t="s">
        <v>26</v>
      </c>
      <c r="Q20" s="56" t="s">
        <v>27</v>
      </c>
      <c r="R20" s="60">
        <v>1</v>
      </c>
      <c r="S20" s="57">
        <f>ROUNDUP(R20*0.75,2)</f>
        <v>0.75</v>
      </c>
      <c r="T20" s="77">
        <f>ROUNDUP((R5*R20)+(R6*S20)+(R7*(R20*2)),2)</f>
        <v>0</v>
      </c>
    </row>
    <row r="21" spans="1:20" ht="18.75" customHeight="1" x14ac:dyDescent="0.15">
      <c r="A21" s="242"/>
      <c r="B21" s="81"/>
      <c r="C21" s="55"/>
      <c r="D21" s="56"/>
      <c r="E21" s="57"/>
      <c r="F21" s="58"/>
      <c r="G21" s="85"/>
      <c r="H21" s="89"/>
      <c r="I21" s="56"/>
      <c r="J21" s="58"/>
      <c r="K21" s="58"/>
      <c r="L21" s="58"/>
      <c r="M21" s="58"/>
      <c r="N21" s="93"/>
      <c r="O21" s="81" t="s">
        <v>28</v>
      </c>
      <c r="P21" s="59" t="s">
        <v>88</v>
      </c>
      <c r="Q21" s="56"/>
      <c r="R21" s="60">
        <v>2</v>
      </c>
      <c r="S21" s="57">
        <f>ROUNDUP(R21*0.75,2)</f>
        <v>1.5</v>
      </c>
      <c r="T21" s="77">
        <f>ROUNDUP((R5*R21)+(R6*S21)+(R7*(R21*2)),2)</f>
        <v>0</v>
      </c>
    </row>
    <row r="22" spans="1:20" ht="18.75" customHeight="1" x14ac:dyDescent="0.15">
      <c r="A22" s="242"/>
      <c r="B22" s="81"/>
      <c r="C22" s="55"/>
      <c r="D22" s="56"/>
      <c r="E22" s="57"/>
      <c r="F22" s="58"/>
      <c r="G22" s="85"/>
      <c r="H22" s="89"/>
      <c r="I22" s="56"/>
      <c r="J22" s="58"/>
      <c r="K22" s="58"/>
      <c r="L22" s="58"/>
      <c r="M22" s="58"/>
      <c r="N22" s="93"/>
      <c r="O22" s="81"/>
      <c r="P22" s="59" t="s">
        <v>54</v>
      </c>
      <c r="Q22" s="56"/>
      <c r="R22" s="60">
        <v>2</v>
      </c>
      <c r="S22" s="57">
        <f>ROUNDUP(R22*0.75,2)</f>
        <v>1.5</v>
      </c>
      <c r="T22" s="77">
        <f>ROUNDUP((R5*R22)+(R6*S22)+(R7*(R22*2)),2)</f>
        <v>0</v>
      </c>
    </row>
    <row r="23" spans="1:20" ht="18.75" customHeight="1" x14ac:dyDescent="0.15">
      <c r="A23" s="242"/>
      <c r="B23" s="82"/>
      <c r="C23" s="61"/>
      <c r="D23" s="62"/>
      <c r="E23" s="63"/>
      <c r="F23" s="64"/>
      <c r="G23" s="86"/>
      <c r="H23" s="90"/>
      <c r="I23" s="62"/>
      <c r="J23" s="64"/>
      <c r="K23" s="64"/>
      <c r="L23" s="64"/>
      <c r="M23" s="64"/>
      <c r="N23" s="94"/>
      <c r="O23" s="82"/>
      <c r="P23" s="65"/>
      <c r="Q23" s="62"/>
      <c r="R23" s="66"/>
      <c r="S23" s="63"/>
      <c r="T23" s="78"/>
    </row>
    <row r="24" spans="1:20" ht="18.75" customHeight="1" x14ac:dyDescent="0.15">
      <c r="A24" s="242"/>
      <c r="B24" s="81" t="s">
        <v>58</v>
      </c>
      <c r="C24" s="55" t="s">
        <v>84</v>
      </c>
      <c r="D24" s="56" t="s">
        <v>27</v>
      </c>
      <c r="E24" s="97">
        <v>0.1</v>
      </c>
      <c r="F24" s="58" t="s">
        <v>24</v>
      </c>
      <c r="G24" s="85"/>
      <c r="H24" s="89" t="s">
        <v>84</v>
      </c>
      <c r="I24" s="56" t="s">
        <v>27</v>
      </c>
      <c r="J24" s="58">
        <f>ROUNDUP(E24*0.75,2)</f>
        <v>0.08</v>
      </c>
      <c r="K24" s="58" t="s">
        <v>24</v>
      </c>
      <c r="L24" s="58"/>
      <c r="M24" s="58">
        <f>ROUNDUP((R5*E24)+(R6*J24)+(R7*(E24*2)),2)</f>
        <v>0</v>
      </c>
      <c r="N24" s="93">
        <f>M24</f>
        <v>0</v>
      </c>
      <c r="O24" s="81" t="s">
        <v>28</v>
      </c>
      <c r="P24" s="59" t="s">
        <v>25</v>
      </c>
      <c r="Q24" s="56"/>
      <c r="R24" s="60">
        <v>100</v>
      </c>
      <c r="S24" s="57">
        <f>ROUNDUP(R24*0.75,2)</f>
        <v>75</v>
      </c>
      <c r="T24" s="77">
        <f>ROUNDUP((R5*R24)+(R6*S24)+(R7*(R24*2)),2)</f>
        <v>0</v>
      </c>
    </row>
    <row r="25" spans="1:20" ht="18.75" customHeight="1" x14ac:dyDescent="0.15">
      <c r="A25" s="242"/>
      <c r="B25" s="81"/>
      <c r="C25" s="55" t="s">
        <v>144</v>
      </c>
      <c r="D25" s="56"/>
      <c r="E25" s="57">
        <v>0.5</v>
      </c>
      <c r="F25" s="58" t="s">
        <v>29</v>
      </c>
      <c r="G25" s="85"/>
      <c r="H25" s="89" t="s">
        <v>144</v>
      </c>
      <c r="I25" s="56"/>
      <c r="J25" s="58">
        <f>ROUNDUP(E25*0.75,2)</f>
        <v>0.38</v>
      </c>
      <c r="K25" s="58" t="s">
        <v>29</v>
      </c>
      <c r="L25" s="58"/>
      <c r="M25" s="58">
        <f>ROUNDUP((R5*E25)+(R6*J25)+(R7*(E25*2)),2)</f>
        <v>0</v>
      </c>
      <c r="N25" s="93">
        <f>M25</f>
        <v>0</v>
      </c>
      <c r="O25" s="81"/>
      <c r="P25" s="59" t="s">
        <v>59</v>
      </c>
      <c r="Q25" s="56"/>
      <c r="R25" s="60">
        <v>3</v>
      </c>
      <c r="S25" s="57">
        <f>ROUNDUP(R25*0.75,2)</f>
        <v>2.25</v>
      </c>
      <c r="T25" s="77">
        <f>ROUNDUP((R5*R25)+(R6*S25)+(R7*(R25*2)),2)</f>
        <v>0</v>
      </c>
    </row>
    <row r="26" spans="1:20" ht="18.75" customHeight="1" x14ac:dyDescent="0.15">
      <c r="A26" s="242"/>
      <c r="B26" s="82"/>
      <c r="C26" s="61"/>
      <c r="D26" s="62"/>
      <c r="E26" s="63"/>
      <c r="F26" s="64"/>
      <c r="G26" s="86"/>
      <c r="H26" s="90"/>
      <c r="I26" s="62"/>
      <c r="J26" s="64"/>
      <c r="K26" s="64"/>
      <c r="L26" s="64"/>
      <c r="M26" s="64"/>
      <c r="N26" s="94"/>
      <c r="O26" s="82"/>
      <c r="P26" s="65"/>
      <c r="Q26" s="62"/>
      <c r="R26" s="66"/>
      <c r="S26" s="63"/>
      <c r="T26" s="78"/>
    </row>
    <row r="27" spans="1:20" ht="18.75" customHeight="1" x14ac:dyDescent="0.15">
      <c r="A27" s="242"/>
      <c r="B27" s="81" t="s">
        <v>103</v>
      </c>
      <c r="C27" s="55" t="s">
        <v>104</v>
      </c>
      <c r="D27" s="56"/>
      <c r="E27" s="98">
        <v>0.16666666666666666</v>
      </c>
      <c r="F27" s="58" t="s">
        <v>38</v>
      </c>
      <c r="G27" s="85"/>
      <c r="H27" s="89" t="s">
        <v>104</v>
      </c>
      <c r="I27" s="56"/>
      <c r="J27" s="58">
        <f>ROUNDUP(E27*0.75,2)</f>
        <v>0.13</v>
      </c>
      <c r="K27" s="58" t="s">
        <v>38</v>
      </c>
      <c r="L27" s="58"/>
      <c r="M27" s="58">
        <f>ROUNDUP((R5*E27)+(R6*J27)+(R7*(E27*2)),2)</f>
        <v>0</v>
      </c>
      <c r="N27" s="93">
        <f>M27</f>
        <v>0</v>
      </c>
      <c r="O27" s="81" t="s">
        <v>61</v>
      </c>
      <c r="P27" s="59"/>
      <c r="Q27" s="56"/>
      <c r="R27" s="60"/>
      <c r="S27" s="57"/>
      <c r="T27" s="77"/>
    </row>
    <row r="28" spans="1:20" ht="18.75" customHeight="1" thickBot="1" x14ac:dyDescent="0.2">
      <c r="A28" s="243"/>
      <c r="B28" s="83"/>
      <c r="C28" s="68"/>
      <c r="D28" s="69"/>
      <c r="E28" s="70"/>
      <c r="F28" s="71"/>
      <c r="G28" s="87"/>
      <c r="H28" s="91"/>
      <c r="I28" s="69"/>
      <c r="J28" s="71"/>
      <c r="K28" s="71"/>
      <c r="L28" s="71"/>
      <c r="M28" s="71"/>
      <c r="N28" s="95"/>
      <c r="O28" s="83"/>
      <c r="P28" s="72"/>
      <c r="Q28" s="69"/>
      <c r="R28" s="73"/>
      <c r="S28" s="70"/>
      <c r="T28" s="79"/>
    </row>
  </sheetData>
  <mergeCells count="5">
    <mergeCell ref="H1:O1"/>
    <mergeCell ref="A2:T2"/>
    <mergeCell ref="Q3:T3"/>
    <mergeCell ref="A8:F8"/>
    <mergeCell ref="A10:A28"/>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390</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391</v>
      </c>
      <c r="C13" s="132" t="s">
        <v>51</v>
      </c>
      <c r="D13" s="132" t="s">
        <v>52</v>
      </c>
      <c r="E13" s="56"/>
      <c r="F13" s="56"/>
      <c r="G13" s="132"/>
      <c r="H13" s="143">
        <v>0.7</v>
      </c>
      <c r="I13" s="132" t="s">
        <v>392</v>
      </c>
      <c r="J13" s="132" t="s">
        <v>51</v>
      </c>
      <c r="K13" s="143">
        <v>0.3</v>
      </c>
      <c r="L13" s="132" t="s">
        <v>393</v>
      </c>
      <c r="M13" s="132" t="s">
        <v>51</v>
      </c>
      <c r="N13" s="146">
        <v>0.2</v>
      </c>
      <c r="O13" s="134" t="s">
        <v>52</v>
      </c>
    </row>
    <row r="14" spans="1:21" ht="14.25" x14ac:dyDescent="0.15">
      <c r="A14" s="265"/>
      <c r="B14" s="132"/>
      <c r="C14" s="132" t="s">
        <v>133</v>
      </c>
      <c r="D14" s="132"/>
      <c r="E14" s="56"/>
      <c r="F14" s="56"/>
      <c r="G14" s="132"/>
      <c r="H14" s="135">
        <v>10</v>
      </c>
      <c r="I14" s="132"/>
      <c r="J14" s="132" t="s">
        <v>33</v>
      </c>
      <c r="K14" s="135">
        <v>10</v>
      </c>
      <c r="L14" s="132"/>
      <c r="M14" s="132" t="s">
        <v>33</v>
      </c>
      <c r="N14" s="135">
        <v>10</v>
      </c>
      <c r="O14" s="134"/>
    </row>
    <row r="15" spans="1:21" ht="14.25" x14ac:dyDescent="0.15">
      <c r="A15" s="265"/>
      <c r="B15" s="132"/>
      <c r="C15" s="132" t="s">
        <v>33</v>
      </c>
      <c r="D15" s="132"/>
      <c r="E15" s="56"/>
      <c r="F15" s="56"/>
      <c r="G15" s="132"/>
      <c r="H15" s="135">
        <v>10</v>
      </c>
      <c r="I15" s="132"/>
      <c r="J15" s="132"/>
      <c r="K15" s="135"/>
      <c r="L15" s="129"/>
      <c r="M15" s="129"/>
      <c r="N15" s="130"/>
      <c r="O15" s="131"/>
    </row>
    <row r="16" spans="1:21" ht="14.25" x14ac:dyDescent="0.15">
      <c r="A16" s="265"/>
      <c r="B16" s="132"/>
      <c r="C16" s="132"/>
      <c r="D16" s="132"/>
      <c r="E16" s="56"/>
      <c r="F16" s="56"/>
      <c r="G16" s="132" t="s">
        <v>25</v>
      </c>
      <c r="H16" s="135" t="s">
        <v>354</v>
      </c>
      <c r="I16" s="129"/>
      <c r="J16" s="129"/>
      <c r="K16" s="130"/>
      <c r="L16" s="132" t="s">
        <v>394</v>
      </c>
      <c r="M16" s="132" t="s">
        <v>35</v>
      </c>
      <c r="N16" s="135">
        <v>20</v>
      </c>
      <c r="O16" s="134"/>
    </row>
    <row r="17" spans="1:15" ht="14.25" x14ac:dyDescent="0.15">
      <c r="A17" s="265"/>
      <c r="B17" s="129"/>
      <c r="C17" s="129"/>
      <c r="D17" s="129"/>
      <c r="E17" s="62"/>
      <c r="F17" s="62"/>
      <c r="G17" s="129"/>
      <c r="H17" s="130"/>
      <c r="I17" s="132" t="s">
        <v>395</v>
      </c>
      <c r="J17" s="132" t="s">
        <v>35</v>
      </c>
      <c r="K17" s="135">
        <v>30</v>
      </c>
      <c r="L17" s="132"/>
      <c r="M17" s="132"/>
      <c r="N17" s="135"/>
      <c r="O17" s="134"/>
    </row>
    <row r="18" spans="1:15" ht="14.25" x14ac:dyDescent="0.15">
      <c r="A18" s="265"/>
      <c r="B18" s="132" t="s">
        <v>395</v>
      </c>
      <c r="C18" s="132" t="s">
        <v>35</v>
      </c>
      <c r="D18" s="132"/>
      <c r="E18" s="56"/>
      <c r="F18" s="56"/>
      <c r="G18" s="132"/>
      <c r="H18" s="135">
        <v>30</v>
      </c>
      <c r="I18" s="129"/>
      <c r="J18" s="129"/>
      <c r="K18" s="130"/>
      <c r="L18" s="132"/>
      <c r="M18" s="132"/>
      <c r="N18" s="135"/>
      <c r="O18" s="134"/>
    </row>
    <row r="19" spans="1:15" ht="14.25" x14ac:dyDescent="0.15">
      <c r="A19" s="265"/>
      <c r="B19" s="129"/>
      <c r="C19" s="129"/>
      <c r="D19" s="129"/>
      <c r="E19" s="62"/>
      <c r="F19" s="62"/>
      <c r="G19" s="129"/>
      <c r="H19" s="130"/>
      <c r="I19" s="132" t="s">
        <v>58</v>
      </c>
      <c r="J19" s="132" t="s">
        <v>84</v>
      </c>
      <c r="K19" s="147">
        <v>0.05</v>
      </c>
      <c r="L19" s="132"/>
      <c r="M19" s="132"/>
      <c r="N19" s="135"/>
      <c r="O19" s="134"/>
    </row>
    <row r="20" spans="1:15" ht="14.25" x14ac:dyDescent="0.15">
      <c r="A20" s="265"/>
      <c r="B20" s="132" t="s">
        <v>58</v>
      </c>
      <c r="C20" s="132" t="s">
        <v>84</v>
      </c>
      <c r="D20" s="132"/>
      <c r="E20" s="56" t="s">
        <v>27</v>
      </c>
      <c r="F20" s="56"/>
      <c r="G20" s="132"/>
      <c r="H20" s="147">
        <v>0.05</v>
      </c>
      <c r="I20" s="132"/>
      <c r="J20" s="132" t="s">
        <v>144</v>
      </c>
      <c r="K20" s="135">
        <v>0.5</v>
      </c>
      <c r="L20" s="132"/>
      <c r="M20" s="132"/>
      <c r="N20" s="135"/>
      <c r="O20" s="134"/>
    </row>
    <row r="21" spans="1:15" ht="14.25" x14ac:dyDescent="0.15">
      <c r="A21" s="265"/>
      <c r="B21" s="132"/>
      <c r="C21" s="132" t="s">
        <v>144</v>
      </c>
      <c r="D21" s="132"/>
      <c r="E21" s="56"/>
      <c r="F21" s="56"/>
      <c r="G21" s="132"/>
      <c r="H21" s="135">
        <v>0.5</v>
      </c>
      <c r="I21" s="132"/>
      <c r="J21" s="132"/>
      <c r="K21" s="135"/>
      <c r="L21" s="132"/>
      <c r="M21" s="132"/>
      <c r="N21" s="135"/>
      <c r="O21" s="134"/>
    </row>
    <row r="22" spans="1:15" ht="14.25" x14ac:dyDescent="0.15">
      <c r="A22" s="265"/>
      <c r="B22" s="132"/>
      <c r="C22" s="132"/>
      <c r="D22" s="132"/>
      <c r="E22" s="56"/>
      <c r="F22" s="56"/>
      <c r="G22" s="132" t="s">
        <v>25</v>
      </c>
      <c r="H22" s="135" t="s">
        <v>354</v>
      </c>
      <c r="I22" s="132"/>
      <c r="J22" s="132"/>
      <c r="K22" s="135"/>
      <c r="L22" s="132"/>
      <c r="M22" s="132"/>
      <c r="N22" s="135"/>
      <c r="O22" s="134"/>
    </row>
    <row r="23" spans="1:15" ht="14.25" x14ac:dyDescent="0.15">
      <c r="A23" s="265"/>
      <c r="B23" s="132"/>
      <c r="C23" s="132"/>
      <c r="D23" s="132"/>
      <c r="E23" s="56"/>
      <c r="F23" s="137"/>
      <c r="G23" s="132" t="s">
        <v>59</v>
      </c>
      <c r="H23" s="135" t="s">
        <v>356</v>
      </c>
      <c r="I23" s="129"/>
      <c r="J23" s="129"/>
      <c r="K23" s="130"/>
      <c r="L23" s="132"/>
      <c r="M23" s="132"/>
      <c r="N23" s="135"/>
      <c r="O23" s="134"/>
    </row>
    <row r="24" spans="1:15" ht="14.25" x14ac:dyDescent="0.15">
      <c r="A24" s="265"/>
      <c r="B24" s="129"/>
      <c r="C24" s="129"/>
      <c r="D24" s="129"/>
      <c r="E24" s="62"/>
      <c r="F24" s="62"/>
      <c r="G24" s="129"/>
      <c r="H24" s="130"/>
      <c r="I24" s="132" t="s">
        <v>103</v>
      </c>
      <c r="J24" s="132" t="s">
        <v>104</v>
      </c>
      <c r="K24" s="133">
        <v>0.1</v>
      </c>
      <c r="L24" s="132"/>
      <c r="M24" s="132"/>
      <c r="N24" s="135"/>
      <c r="O24" s="134"/>
    </row>
    <row r="25" spans="1:15" ht="14.25" x14ac:dyDescent="0.15">
      <c r="A25" s="265"/>
      <c r="B25" s="132" t="s">
        <v>103</v>
      </c>
      <c r="C25" s="132" t="s">
        <v>104</v>
      </c>
      <c r="D25" s="132"/>
      <c r="E25" s="56"/>
      <c r="F25" s="56"/>
      <c r="G25" s="132"/>
      <c r="H25" s="133">
        <v>0.1</v>
      </c>
      <c r="I25" s="132"/>
      <c r="J25" s="132"/>
      <c r="K25" s="135"/>
      <c r="L25" s="132"/>
      <c r="M25" s="132"/>
      <c r="N25" s="135"/>
      <c r="O25" s="134"/>
    </row>
    <row r="26" spans="1:15" ht="15" thickBot="1" x14ac:dyDescent="0.2">
      <c r="A26" s="266"/>
      <c r="B26" s="139"/>
      <c r="C26" s="139"/>
      <c r="D26" s="139"/>
      <c r="E26" s="69"/>
      <c r="F26" s="69"/>
      <c r="G26" s="139"/>
      <c r="H26" s="140"/>
      <c r="I26" s="139"/>
      <c r="J26" s="139"/>
      <c r="K26" s="140"/>
      <c r="L26" s="139"/>
      <c r="M26" s="139"/>
      <c r="N26" s="140"/>
      <c r="O26" s="141"/>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row r="57" spans="2:14" ht="14.25" x14ac:dyDescent="0.15">
      <c r="B57" s="105"/>
      <c r="C57" s="105"/>
      <c r="D57" s="105"/>
      <c r="G57" s="105"/>
      <c r="H57" s="142"/>
      <c r="I57" s="105"/>
      <c r="J57" s="105"/>
      <c r="K57" s="142"/>
      <c r="L57" s="105"/>
      <c r="M57" s="105"/>
      <c r="N57" s="142"/>
    </row>
    <row r="58" spans="2:14" ht="14.25" x14ac:dyDescent="0.15">
      <c r="B58" s="105"/>
      <c r="C58" s="105"/>
      <c r="D58" s="105"/>
      <c r="G58" s="105"/>
      <c r="H58" s="142"/>
      <c r="I58" s="105"/>
      <c r="J58" s="105"/>
      <c r="K58" s="142"/>
      <c r="L58" s="105"/>
      <c r="M58" s="105"/>
      <c r="N58" s="142"/>
    </row>
    <row r="59" spans="2:14" ht="14.25" x14ac:dyDescent="0.15">
      <c r="B59" s="105"/>
      <c r="C59" s="105"/>
      <c r="D59" s="105"/>
      <c r="G59" s="105"/>
      <c r="H59" s="142"/>
      <c r="I59" s="105"/>
      <c r="J59" s="105"/>
      <c r="K59" s="142"/>
      <c r="L59" s="105"/>
      <c r="M59" s="105"/>
      <c r="N59" s="142"/>
    </row>
  </sheetData>
  <mergeCells count="15">
    <mergeCell ref="L8:N8"/>
    <mergeCell ref="O8:O10"/>
    <mergeCell ref="I9:K9"/>
    <mergeCell ref="L9:N9"/>
    <mergeCell ref="A11:A26"/>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325</v>
      </c>
      <c r="B1" s="1"/>
      <c r="C1" s="2"/>
      <c r="D1" s="3"/>
      <c r="E1" s="2"/>
      <c r="F1" s="2"/>
      <c r="G1" s="2"/>
      <c r="H1" s="234"/>
      <c r="I1" s="234"/>
      <c r="J1" s="235"/>
      <c r="K1" s="235"/>
      <c r="L1" s="235"/>
      <c r="M1" s="235"/>
      <c r="N1" s="235"/>
      <c r="O1" s="235"/>
      <c r="P1" s="2"/>
      <c r="Q1" s="2"/>
      <c r="R1" s="4"/>
      <c r="S1" s="4"/>
      <c r="T1" s="3"/>
      <c r="U1" s="3"/>
    </row>
    <row r="2" spans="1:21" ht="36.75" customHeight="1" x14ac:dyDescent="0.15">
      <c r="A2" s="234" t="s">
        <v>324</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323</v>
      </c>
      <c r="R3" s="237"/>
      <c r="S3" s="237"/>
      <c r="T3" s="238"/>
      <c r="U3" s="3"/>
    </row>
    <row r="4" spans="1:21" ht="15.75" customHeight="1" x14ac:dyDescent="0.15">
      <c r="A4" s="5"/>
      <c r="B4" s="5"/>
      <c r="C4" s="2"/>
      <c r="D4" s="3"/>
      <c r="E4" s="6"/>
      <c r="F4" s="2"/>
      <c r="G4" s="2"/>
      <c r="H4" s="2"/>
      <c r="I4" s="3"/>
      <c r="J4" s="2"/>
      <c r="K4" s="7"/>
      <c r="L4" s="7"/>
      <c r="M4" s="7"/>
      <c r="N4" s="9"/>
      <c r="O4" s="2"/>
      <c r="P4" s="10"/>
      <c r="Q4" s="11"/>
      <c r="R4" s="12" t="s">
        <v>322</v>
      </c>
      <c r="S4" s="13" t="s">
        <v>321</v>
      </c>
      <c r="T4" s="13" t="s">
        <v>320</v>
      </c>
      <c r="U4" s="3"/>
    </row>
    <row r="5" spans="1:21" ht="22.5" customHeight="1" x14ac:dyDescent="0.15">
      <c r="A5" s="5"/>
      <c r="B5" s="5"/>
      <c r="C5" s="2"/>
      <c r="D5" s="3"/>
      <c r="E5" s="6"/>
      <c r="F5" s="2"/>
      <c r="G5" s="2"/>
      <c r="H5" s="2"/>
      <c r="I5" s="3"/>
      <c r="J5" s="2"/>
      <c r="K5" s="7"/>
      <c r="L5" s="7"/>
      <c r="M5" s="7"/>
      <c r="N5" s="9"/>
      <c r="O5" s="2"/>
      <c r="P5" s="14"/>
      <c r="Q5" s="45" t="s">
        <v>319</v>
      </c>
      <c r="R5" s="46"/>
      <c r="S5" s="47"/>
      <c r="T5" s="47"/>
      <c r="U5" s="3"/>
    </row>
    <row r="6" spans="1:21" ht="22.5" customHeight="1" x14ac:dyDescent="0.15">
      <c r="A6" s="5"/>
      <c r="B6" s="5"/>
      <c r="C6" s="2"/>
      <c r="D6" s="15"/>
      <c r="E6" s="6"/>
      <c r="F6" s="2"/>
      <c r="G6" s="2"/>
      <c r="H6" s="2"/>
      <c r="I6" s="15"/>
      <c r="J6" s="2"/>
      <c r="K6" s="7"/>
      <c r="L6" s="7"/>
      <c r="M6" s="7"/>
      <c r="N6" s="9"/>
      <c r="O6" s="2"/>
      <c r="P6" s="14"/>
      <c r="Q6" s="45" t="s">
        <v>318</v>
      </c>
      <c r="R6" s="46"/>
      <c r="S6" s="47"/>
      <c r="T6" s="47"/>
      <c r="U6" s="3"/>
    </row>
    <row r="7" spans="1:21" ht="22.5" customHeight="1" x14ac:dyDescent="0.15">
      <c r="A7" s="5"/>
      <c r="B7" s="5"/>
      <c r="C7" s="2"/>
      <c r="D7" s="16"/>
      <c r="E7" s="6"/>
      <c r="F7" s="2"/>
      <c r="G7" s="2"/>
      <c r="I7" s="16"/>
      <c r="J7" s="2"/>
      <c r="K7" s="7"/>
      <c r="L7" s="7"/>
      <c r="M7" s="7"/>
      <c r="N7" s="17"/>
      <c r="O7" s="2"/>
      <c r="P7" s="14"/>
      <c r="Q7" s="45" t="s">
        <v>317</v>
      </c>
      <c r="R7" s="46"/>
      <c r="S7" s="47"/>
      <c r="T7" s="47"/>
      <c r="U7" s="18"/>
    </row>
    <row r="8" spans="1:21" ht="27.75" customHeight="1" thickBot="1" x14ac:dyDescent="0.3">
      <c r="A8" s="239" t="s">
        <v>316</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315</v>
      </c>
      <c r="C9" s="25" t="s">
        <v>313</v>
      </c>
      <c r="D9" s="26" t="s">
        <v>305</v>
      </c>
      <c r="E9" s="43" t="s">
        <v>314</v>
      </c>
      <c r="F9" s="27" t="s">
        <v>311</v>
      </c>
      <c r="G9" s="25" t="s">
        <v>310</v>
      </c>
      <c r="H9" s="24" t="s">
        <v>313</v>
      </c>
      <c r="I9" s="26" t="s">
        <v>305</v>
      </c>
      <c r="J9" s="44" t="s">
        <v>312</v>
      </c>
      <c r="K9" s="27" t="s">
        <v>311</v>
      </c>
      <c r="L9" s="27" t="s">
        <v>310</v>
      </c>
      <c r="M9" s="27" t="s">
        <v>309</v>
      </c>
      <c r="N9" s="29" t="s">
        <v>308</v>
      </c>
      <c r="O9" s="30" t="s">
        <v>307</v>
      </c>
      <c r="P9" s="27" t="s">
        <v>306</v>
      </c>
      <c r="Q9" s="31" t="s">
        <v>305</v>
      </c>
      <c r="R9" s="28" t="s">
        <v>304</v>
      </c>
      <c r="S9" s="32" t="s">
        <v>303</v>
      </c>
      <c r="T9" s="33" t="s">
        <v>302</v>
      </c>
      <c r="U9" s="34"/>
    </row>
    <row r="10" spans="1:21" ht="18.75" customHeight="1" x14ac:dyDescent="0.15">
      <c r="A10" s="241" t="s">
        <v>46</v>
      </c>
      <c r="B10" s="80" t="s">
        <v>183</v>
      </c>
      <c r="C10" s="48" t="s">
        <v>188</v>
      </c>
      <c r="D10" s="49" t="s">
        <v>301</v>
      </c>
      <c r="E10" s="54">
        <v>40</v>
      </c>
      <c r="F10" s="51" t="s">
        <v>29</v>
      </c>
      <c r="G10" s="84"/>
      <c r="H10" s="88" t="s">
        <v>188</v>
      </c>
      <c r="I10" s="49" t="s">
        <v>301</v>
      </c>
      <c r="J10" s="51">
        <f>ROUNDUP(E10*0.75,2)</f>
        <v>30</v>
      </c>
      <c r="K10" s="51" t="s">
        <v>29</v>
      </c>
      <c r="L10" s="51"/>
      <c r="M10" s="51">
        <f>ROUNDUP((R5*E10)+(R6*J10)+(R7*(E10*2)),2)</f>
        <v>0</v>
      </c>
      <c r="N10" s="92">
        <f>M10</f>
        <v>0</v>
      </c>
      <c r="O10" s="80" t="s">
        <v>184</v>
      </c>
      <c r="P10" s="52" t="s">
        <v>30</v>
      </c>
      <c r="Q10" s="49"/>
      <c r="R10" s="53">
        <v>0.5</v>
      </c>
      <c r="S10" s="54">
        <f t="shared" ref="S10:S15" si="0">ROUNDUP(R10*0.75,2)</f>
        <v>0.38</v>
      </c>
      <c r="T10" s="76">
        <f>ROUNDUP((R5*R10)+(R6*S10)+(R7*(R10*2)),2)</f>
        <v>0</v>
      </c>
    </row>
    <row r="11" spans="1:21" ht="18.75" customHeight="1" x14ac:dyDescent="0.15">
      <c r="A11" s="242"/>
      <c r="B11" s="81"/>
      <c r="C11" s="55" t="s">
        <v>69</v>
      </c>
      <c r="D11" s="56"/>
      <c r="E11" s="57">
        <v>30</v>
      </c>
      <c r="F11" s="58" t="s">
        <v>29</v>
      </c>
      <c r="G11" s="85"/>
      <c r="H11" s="89" t="s">
        <v>69</v>
      </c>
      <c r="I11" s="56"/>
      <c r="J11" s="58">
        <f>ROUNDUP(E11*0.75,2)</f>
        <v>22.5</v>
      </c>
      <c r="K11" s="58" t="s">
        <v>29</v>
      </c>
      <c r="L11" s="58"/>
      <c r="M11" s="58">
        <f>ROUNDUP((R5*E11)+(R6*J11)+(R7*(E11*2)),2)</f>
        <v>0</v>
      </c>
      <c r="N11" s="93">
        <f>M11</f>
        <v>0</v>
      </c>
      <c r="O11" s="81" t="s">
        <v>185</v>
      </c>
      <c r="P11" s="59" t="s">
        <v>54</v>
      </c>
      <c r="Q11" s="56"/>
      <c r="R11" s="60">
        <v>2</v>
      </c>
      <c r="S11" s="57">
        <f t="shared" si="0"/>
        <v>1.5</v>
      </c>
      <c r="T11" s="77">
        <f>ROUNDUP((R5*R11)+(R6*S11)+(R7*(R11*2)),2)</f>
        <v>0</v>
      </c>
    </row>
    <row r="12" spans="1:21" ht="18.75" customHeight="1" x14ac:dyDescent="0.15">
      <c r="A12" s="242"/>
      <c r="B12" s="81"/>
      <c r="C12" s="55" t="s">
        <v>32</v>
      </c>
      <c r="D12" s="56"/>
      <c r="E12" s="57">
        <v>20</v>
      </c>
      <c r="F12" s="58" t="s">
        <v>29</v>
      </c>
      <c r="G12" s="85"/>
      <c r="H12" s="89" t="s">
        <v>32</v>
      </c>
      <c r="I12" s="56"/>
      <c r="J12" s="58">
        <f>ROUNDUP(E12*0.75,2)</f>
        <v>15</v>
      </c>
      <c r="K12" s="58" t="s">
        <v>29</v>
      </c>
      <c r="L12" s="58"/>
      <c r="M12" s="58">
        <f>ROUNDUP((R5*E12)+(R6*J12)+(R7*(E12*2)),2)</f>
        <v>0</v>
      </c>
      <c r="N12" s="93">
        <f>ROUND(M12+(M12*15/100),2)</f>
        <v>0</v>
      </c>
      <c r="O12" s="81" t="s">
        <v>186</v>
      </c>
      <c r="P12" s="59" t="s">
        <v>25</v>
      </c>
      <c r="Q12" s="56"/>
      <c r="R12" s="60">
        <v>100</v>
      </c>
      <c r="S12" s="57">
        <f t="shared" si="0"/>
        <v>75</v>
      </c>
      <c r="T12" s="77">
        <f>ROUNDUP((R5*R12)+(R6*S12)+(R7*(R12*2)),2)</f>
        <v>0</v>
      </c>
    </row>
    <row r="13" spans="1:21" ht="18.75" customHeight="1" x14ac:dyDescent="0.15">
      <c r="A13" s="242"/>
      <c r="B13" s="81"/>
      <c r="C13" s="55" t="s">
        <v>33</v>
      </c>
      <c r="D13" s="56"/>
      <c r="E13" s="57">
        <v>10</v>
      </c>
      <c r="F13" s="58" t="s">
        <v>29</v>
      </c>
      <c r="G13" s="85"/>
      <c r="H13" s="89" t="s">
        <v>33</v>
      </c>
      <c r="I13" s="56"/>
      <c r="J13" s="58">
        <f>ROUNDUP(E13*0.75,2)</f>
        <v>7.5</v>
      </c>
      <c r="K13" s="58" t="s">
        <v>29</v>
      </c>
      <c r="L13" s="58"/>
      <c r="M13" s="58">
        <f>ROUNDUP((R5*E13)+(R6*J13)+(R7*(E13*2)),2)</f>
        <v>0</v>
      </c>
      <c r="N13" s="93">
        <f>ROUND(M13+(M13*10/100),2)</f>
        <v>0</v>
      </c>
      <c r="O13" s="81" t="s">
        <v>187</v>
      </c>
      <c r="P13" s="59" t="s">
        <v>34</v>
      </c>
      <c r="Q13" s="56"/>
      <c r="R13" s="60">
        <v>2</v>
      </c>
      <c r="S13" s="57">
        <f t="shared" si="0"/>
        <v>1.5</v>
      </c>
      <c r="T13" s="77">
        <f>ROUNDUP((R5*R13)+(R6*S13)+(R7*(R13*2)),2)</f>
        <v>0</v>
      </c>
    </row>
    <row r="14" spans="1:21" ht="18.75" customHeight="1" x14ac:dyDescent="0.15">
      <c r="A14" s="242"/>
      <c r="B14" s="81"/>
      <c r="C14" s="55" t="s">
        <v>146</v>
      </c>
      <c r="D14" s="56"/>
      <c r="E14" s="57">
        <v>10</v>
      </c>
      <c r="F14" s="58" t="s">
        <v>29</v>
      </c>
      <c r="G14" s="85"/>
      <c r="H14" s="89" t="s">
        <v>146</v>
      </c>
      <c r="I14" s="56"/>
      <c r="J14" s="58">
        <f>ROUNDUP(E14*0.75,2)</f>
        <v>7.5</v>
      </c>
      <c r="K14" s="58" t="s">
        <v>29</v>
      </c>
      <c r="L14" s="58"/>
      <c r="M14" s="58">
        <f>ROUNDUP((R5*E14)+(R6*J14)+(R7*(E14*2)),2)</f>
        <v>0</v>
      </c>
      <c r="N14" s="93">
        <f>ROUND(M14+(M14*15/100),2)</f>
        <v>0</v>
      </c>
      <c r="O14" s="81" t="s">
        <v>28</v>
      </c>
      <c r="P14" s="59" t="s">
        <v>41</v>
      </c>
      <c r="Q14" s="56"/>
      <c r="R14" s="60">
        <v>0.1</v>
      </c>
      <c r="S14" s="57">
        <f t="shared" si="0"/>
        <v>0.08</v>
      </c>
      <c r="T14" s="77">
        <f>ROUNDUP((R5*R14)+(R6*S14)+(R7*(R14*2)),2)</f>
        <v>0</v>
      </c>
    </row>
    <row r="15" spans="1:21" ht="18.75" customHeight="1" x14ac:dyDescent="0.15">
      <c r="A15" s="242"/>
      <c r="B15" s="81"/>
      <c r="C15" s="55"/>
      <c r="D15" s="56"/>
      <c r="E15" s="57"/>
      <c r="F15" s="58"/>
      <c r="G15" s="85"/>
      <c r="H15" s="89"/>
      <c r="I15" s="56"/>
      <c r="J15" s="58"/>
      <c r="K15" s="58"/>
      <c r="L15" s="58"/>
      <c r="M15" s="58"/>
      <c r="N15" s="93"/>
      <c r="O15" s="81"/>
      <c r="P15" s="59" t="s">
        <v>26</v>
      </c>
      <c r="Q15" s="56" t="s">
        <v>27</v>
      </c>
      <c r="R15" s="60">
        <v>2</v>
      </c>
      <c r="S15" s="57">
        <f t="shared" si="0"/>
        <v>1.5</v>
      </c>
      <c r="T15" s="77">
        <f>ROUNDUP((R5*R15)+(R6*S15)+(R7*(R15*2)),2)</f>
        <v>0</v>
      </c>
    </row>
    <row r="16" spans="1:21" ht="18.75" customHeight="1" x14ac:dyDescent="0.15">
      <c r="A16" s="242"/>
      <c r="B16" s="82"/>
      <c r="C16" s="61"/>
      <c r="D16" s="62"/>
      <c r="E16" s="63"/>
      <c r="F16" s="64"/>
      <c r="G16" s="86"/>
      <c r="H16" s="90"/>
      <c r="I16" s="62"/>
      <c r="J16" s="64"/>
      <c r="K16" s="64"/>
      <c r="L16" s="64"/>
      <c r="M16" s="64"/>
      <c r="N16" s="94"/>
      <c r="O16" s="82"/>
      <c r="P16" s="65"/>
      <c r="Q16" s="62"/>
      <c r="R16" s="66"/>
      <c r="S16" s="63"/>
      <c r="T16" s="78"/>
    </row>
    <row r="17" spans="1:20" ht="18.75" customHeight="1" x14ac:dyDescent="0.15">
      <c r="A17" s="242"/>
      <c r="B17" s="81" t="s">
        <v>189</v>
      </c>
      <c r="C17" s="55" t="s">
        <v>161</v>
      </c>
      <c r="D17" s="56"/>
      <c r="E17" s="74">
        <v>0.25</v>
      </c>
      <c r="F17" s="58" t="s">
        <v>85</v>
      </c>
      <c r="G17" s="85"/>
      <c r="H17" s="89" t="s">
        <v>161</v>
      </c>
      <c r="I17" s="56"/>
      <c r="J17" s="58">
        <f>ROUNDUP(E17*0.75,2)</f>
        <v>0.19</v>
      </c>
      <c r="K17" s="58" t="s">
        <v>85</v>
      </c>
      <c r="L17" s="58"/>
      <c r="M17" s="58">
        <f>ROUNDUP((R5*E17)+(R6*J17)+(R7*(E17*2)),2)</f>
        <v>0</v>
      </c>
      <c r="N17" s="93">
        <f>M17</f>
        <v>0</v>
      </c>
      <c r="O17" s="81" t="s">
        <v>190</v>
      </c>
      <c r="P17" s="59" t="s">
        <v>25</v>
      </c>
      <c r="Q17" s="56"/>
      <c r="R17" s="60">
        <v>10</v>
      </c>
      <c r="S17" s="57">
        <f t="shared" ref="S17:S24" si="1">ROUNDUP(R17*0.75,2)</f>
        <v>7.5</v>
      </c>
      <c r="T17" s="77">
        <f>ROUNDUP((R5*R17)+(R6*S17)+(R7*(R17*2)),2)</f>
        <v>0</v>
      </c>
    </row>
    <row r="18" spans="1:20" ht="18.75" customHeight="1" x14ac:dyDescent="0.15">
      <c r="A18" s="242"/>
      <c r="B18" s="81"/>
      <c r="C18" s="55" t="s">
        <v>147</v>
      </c>
      <c r="D18" s="56"/>
      <c r="E18" s="57">
        <v>5</v>
      </c>
      <c r="F18" s="58" t="s">
        <v>29</v>
      </c>
      <c r="G18" s="85"/>
      <c r="H18" s="89" t="s">
        <v>147</v>
      </c>
      <c r="I18" s="56"/>
      <c r="J18" s="58">
        <f>ROUNDUP(E18*0.75,2)</f>
        <v>3.75</v>
      </c>
      <c r="K18" s="58" t="s">
        <v>29</v>
      </c>
      <c r="L18" s="58"/>
      <c r="M18" s="58">
        <f>ROUNDUP((R5*E18)+(R6*J18)+(R7*(E18*2)),2)</f>
        <v>0</v>
      </c>
      <c r="N18" s="93">
        <f>ROUND(M18+(M18*15/100),2)</f>
        <v>0</v>
      </c>
      <c r="O18" s="81" t="s">
        <v>191</v>
      </c>
      <c r="P18" s="59" t="s">
        <v>50</v>
      </c>
      <c r="Q18" s="56"/>
      <c r="R18" s="60">
        <v>1</v>
      </c>
      <c r="S18" s="57">
        <f t="shared" si="1"/>
        <v>0.75</v>
      </c>
      <c r="T18" s="77">
        <f>ROUNDUP((R5*R18)+(R6*S18)+(R7*(R18*2)),2)</f>
        <v>0</v>
      </c>
    </row>
    <row r="19" spans="1:20" ht="18.75" customHeight="1" x14ac:dyDescent="0.15">
      <c r="A19" s="242"/>
      <c r="B19" s="81"/>
      <c r="C19" s="55" t="s">
        <v>106</v>
      </c>
      <c r="D19" s="56"/>
      <c r="E19" s="57">
        <v>2</v>
      </c>
      <c r="F19" s="58" t="s">
        <v>29</v>
      </c>
      <c r="G19" s="85"/>
      <c r="H19" s="89" t="s">
        <v>106</v>
      </c>
      <c r="I19" s="56"/>
      <c r="J19" s="58">
        <f>ROUNDUP(E19*0.75,2)</f>
        <v>1.5</v>
      </c>
      <c r="K19" s="58" t="s">
        <v>29</v>
      </c>
      <c r="L19" s="58"/>
      <c r="M19" s="58">
        <f>ROUNDUP((R5*E19)+(R6*J19)+(R7*(E19*2)),2)</f>
        <v>0</v>
      </c>
      <c r="N19" s="93">
        <f>ROUND(M19+(M19*10/100),2)</f>
        <v>0</v>
      </c>
      <c r="O19" s="81" t="s">
        <v>192</v>
      </c>
      <c r="P19" s="59" t="s">
        <v>26</v>
      </c>
      <c r="Q19" s="56" t="s">
        <v>27</v>
      </c>
      <c r="R19" s="60">
        <v>0.5</v>
      </c>
      <c r="S19" s="57">
        <f t="shared" si="1"/>
        <v>0.38</v>
      </c>
      <c r="T19" s="77">
        <f>ROUNDUP((R5*R19)+(R6*S19)+(R7*(R19*2)),2)</f>
        <v>0</v>
      </c>
    </row>
    <row r="20" spans="1:20" ht="18.75" customHeight="1" x14ac:dyDescent="0.15">
      <c r="A20" s="242"/>
      <c r="B20" s="81"/>
      <c r="C20" s="55"/>
      <c r="D20" s="56"/>
      <c r="E20" s="57"/>
      <c r="F20" s="58"/>
      <c r="G20" s="85"/>
      <c r="H20" s="89"/>
      <c r="I20" s="56"/>
      <c r="J20" s="58"/>
      <c r="K20" s="58"/>
      <c r="L20" s="58"/>
      <c r="M20" s="58"/>
      <c r="N20" s="93"/>
      <c r="O20" s="100" t="s">
        <v>300</v>
      </c>
      <c r="P20" s="59" t="s">
        <v>71</v>
      </c>
      <c r="Q20" s="56"/>
      <c r="R20" s="60">
        <v>1.5</v>
      </c>
      <c r="S20" s="57">
        <f t="shared" si="1"/>
        <v>1.1300000000000001</v>
      </c>
      <c r="T20" s="77">
        <f>ROUNDUP((R5*R20)+(R6*S20)+(R7*(R20*2)),2)</f>
        <v>0</v>
      </c>
    </row>
    <row r="21" spans="1:20" ht="18.75" customHeight="1" x14ac:dyDescent="0.15">
      <c r="A21" s="242"/>
      <c r="B21" s="81"/>
      <c r="C21" s="55"/>
      <c r="D21" s="56"/>
      <c r="E21" s="57"/>
      <c r="F21" s="58"/>
      <c r="G21" s="85"/>
      <c r="H21" s="89"/>
      <c r="I21" s="56"/>
      <c r="J21" s="58"/>
      <c r="K21" s="58"/>
      <c r="L21" s="58"/>
      <c r="M21" s="58"/>
      <c r="N21" s="93"/>
      <c r="O21" s="36" t="s">
        <v>274</v>
      </c>
      <c r="P21" s="59" t="s">
        <v>25</v>
      </c>
      <c r="Q21" s="56"/>
      <c r="R21" s="60">
        <v>20</v>
      </c>
      <c r="S21" s="57">
        <f t="shared" si="1"/>
        <v>15</v>
      </c>
      <c r="T21" s="77">
        <f>ROUNDUP((R5*R21)+(R6*S21)+(R7*(R21*2)),2)</f>
        <v>0</v>
      </c>
    </row>
    <row r="22" spans="1:20" ht="18.75" customHeight="1" x14ac:dyDescent="0.15">
      <c r="A22" s="242"/>
      <c r="B22" s="81"/>
      <c r="C22" s="55"/>
      <c r="D22" s="56"/>
      <c r="E22" s="57"/>
      <c r="F22" s="58"/>
      <c r="G22" s="85"/>
      <c r="H22" s="89"/>
      <c r="I22" s="56"/>
      <c r="J22" s="58"/>
      <c r="K22" s="58"/>
      <c r="L22" s="58"/>
      <c r="M22" s="58"/>
      <c r="N22" s="93"/>
      <c r="O22" s="81" t="s">
        <v>105</v>
      </c>
      <c r="P22" s="59" t="s">
        <v>34</v>
      </c>
      <c r="Q22" s="56"/>
      <c r="R22" s="60">
        <v>2</v>
      </c>
      <c r="S22" s="57">
        <f t="shared" si="1"/>
        <v>1.5</v>
      </c>
      <c r="T22" s="77">
        <f>ROUNDUP((R5*R22)+(R6*S22)+(R7*(R22*2)),2)</f>
        <v>0</v>
      </c>
    </row>
    <row r="23" spans="1:20" ht="18.75" customHeight="1" x14ac:dyDescent="0.15">
      <c r="A23" s="242"/>
      <c r="B23" s="81"/>
      <c r="C23" s="55"/>
      <c r="D23" s="56"/>
      <c r="E23" s="57"/>
      <c r="F23" s="58"/>
      <c r="G23" s="85"/>
      <c r="H23" s="89"/>
      <c r="I23" s="56"/>
      <c r="J23" s="58"/>
      <c r="K23" s="58"/>
      <c r="L23" s="58"/>
      <c r="M23" s="58"/>
      <c r="N23" s="93"/>
      <c r="O23" s="81" t="s">
        <v>66</v>
      </c>
      <c r="P23" s="59" t="s">
        <v>26</v>
      </c>
      <c r="Q23" s="56" t="s">
        <v>27</v>
      </c>
      <c r="R23" s="60">
        <v>0.5</v>
      </c>
      <c r="S23" s="57">
        <f t="shared" si="1"/>
        <v>0.38</v>
      </c>
      <c r="T23" s="77">
        <f>ROUNDUP((R5*R23)+(R6*S23)+(R7*(R23*2)),2)</f>
        <v>0</v>
      </c>
    </row>
    <row r="24" spans="1:20" ht="18.75" customHeight="1" x14ac:dyDescent="0.15">
      <c r="A24" s="242"/>
      <c r="B24" s="81"/>
      <c r="C24" s="55"/>
      <c r="D24" s="56"/>
      <c r="E24" s="57"/>
      <c r="F24" s="58"/>
      <c r="G24" s="85"/>
      <c r="H24" s="89"/>
      <c r="I24" s="56"/>
      <c r="J24" s="58"/>
      <c r="K24" s="58"/>
      <c r="L24" s="58"/>
      <c r="M24" s="58"/>
      <c r="N24" s="93"/>
      <c r="O24" s="81" t="s">
        <v>28</v>
      </c>
      <c r="P24" s="59" t="s">
        <v>31</v>
      </c>
      <c r="Q24" s="56"/>
      <c r="R24" s="60">
        <v>1</v>
      </c>
      <c r="S24" s="57">
        <f t="shared" si="1"/>
        <v>0.75</v>
      </c>
      <c r="T24" s="77">
        <f>ROUNDUP((R5*R24)+(R6*S24)+(R7*(R24*2)),2)</f>
        <v>0</v>
      </c>
    </row>
    <row r="25" spans="1:20" ht="18.75" customHeight="1" x14ac:dyDescent="0.15">
      <c r="A25" s="242"/>
      <c r="B25" s="82"/>
      <c r="C25" s="61"/>
      <c r="D25" s="62"/>
      <c r="E25" s="63"/>
      <c r="F25" s="64"/>
      <c r="G25" s="86"/>
      <c r="H25" s="90"/>
      <c r="I25" s="62"/>
      <c r="J25" s="64"/>
      <c r="K25" s="64"/>
      <c r="L25" s="64"/>
      <c r="M25" s="64"/>
      <c r="N25" s="94"/>
      <c r="O25" s="82"/>
      <c r="P25" s="65"/>
      <c r="Q25" s="62"/>
      <c r="R25" s="66"/>
      <c r="S25" s="63"/>
      <c r="T25" s="78"/>
    </row>
    <row r="26" spans="1:20" ht="18.75" customHeight="1" x14ac:dyDescent="0.15">
      <c r="A26" s="242"/>
      <c r="B26" s="81" t="s">
        <v>158</v>
      </c>
      <c r="C26" s="55" t="s">
        <v>159</v>
      </c>
      <c r="D26" s="56"/>
      <c r="E26" s="74">
        <v>0.25</v>
      </c>
      <c r="F26" s="58" t="s">
        <v>160</v>
      </c>
      <c r="G26" s="85"/>
      <c r="H26" s="89" t="s">
        <v>159</v>
      </c>
      <c r="I26" s="56"/>
      <c r="J26" s="58">
        <f>ROUNDUP(E26*0.75,2)</f>
        <v>0.19</v>
      </c>
      <c r="K26" s="58" t="s">
        <v>160</v>
      </c>
      <c r="L26" s="58"/>
      <c r="M26" s="58">
        <f>ROUNDUP((R5*E26)+(R6*J26)+(R7*(E26*2)),2)</f>
        <v>0</v>
      </c>
      <c r="N26" s="93">
        <f>M26</f>
        <v>0</v>
      </c>
      <c r="O26" s="81" t="s">
        <v>61</v>
      </c>
      <c r="P26" s="59"/>
      <c r="Q26" s="56"/>
      <c r="R26" s="60"/>
      <c r="S26" s="57"/>
      <c r="T26" s="77"/>
    </row>
    <row r="27" spans="1:20" ht="18.75" customHeight="1" thickBot="1" x14ac:dyDescent="0.2">
      <c r="A27" s="243"/>
      <c r="B27" s="83"/>
      <c r="C27" s="68"/>
      <c r="D27" s="69"/>
      <c r="E27" s="70"/>
      <c r="F27" s="71"/>
      <c r="G27" s="87"/>
      <c r="H27" s="91"/>
      <c r="I27" s="69"/>
      <c r="J27" s="71"/>
      <c r="K27" s="71"/>
      <c r="L27" s="71"/>
      <c r="M27" s="71"/>
      <c r="N27" s="95"/>
      <c r="O27" s="83"/>
      <c r="P27" s="72"/>
      <c r="Q27" s="69"/>
      <c r="R27" s="73"/>
      <c r="S27" s="70"/>
      <c r="T27" s="79"/>
    </row>
  </sheetData>
  <mergeCells count="5">
    <mergeCell ref="H1:O1"/>
    <mergeCell ref="A2:T2"/>
    <mergeCell ref="Q3:T3"/>
    <mergeCell ref="A8:F8"/>
    <mergeCell ref="A10:A27"/>
  </mergeCells>
  <phoneticPr fontId="20"/>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396</v>
      </c>
      <c r="B7" s="249"/>
      <c r="C7" s="249"/>
      <c r="D7" s="114"/>
      <c r="E7" s="250" t="s">
        <v>397</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398</v>
      </c>
      <c r="C11" s="126" t="s">
        <v>188</v>
      </c>
      <c r="D11" s="126"/>
      <c r="E11" s="49" t="s">
        <v>399</v>
      </c>
      <c r="F11" s="49"/>
      <c r="G11" s="126"/>
      <c r="H11" s="127">
        <v>20</v>
      </c>
      <c r="I11" s="126" t="s">
        <v>400</v>
      </c>
      <c r="J11" s="126" t="s">
        <v>188</v>
      </c>
      <c r="K11" s="127">
        <v>10</v>
      </c>
      <c r="L11" s="126" t="s">
        <v>401</v>
      </c>
      <c r="M11" s="126" t="s">
        <v>188</v>
      </c>
      <c r="N11" s="127">
        <v>10</v>
      </c>
      <c r="O11" s="128"/>
    </row>
    <row r="12" spans="1:21" ht="14.25" x14ac:dyDescent="0.15">
      <c r="A12" s="265"/>
      <c r="B12" s="132"/>
      <c r="C12" s="132" t="s">
        <v>69</v>
      </c>
      <c r="D12" s="132"/>
      <c r="E12" s="56"/>
      <c r="F12" s="56"/>
      <c r="G12" s="132"/>
      <c r="H12" s="135">
        <v>20</v>
      </c>
      <c r="I12" s="132"/>
      <c r="J12" s="136" t="s">
        <v>353</v>
      </c>
      <c r="K12" s="135">
        <v>15</v>
      </c>
      <c r="L12" s="129"/>
      <c r="M12" s="129"/>
      <c r="N12" s="130"/>
      <c r="O12" s="131"/>
    </row>
    <row r="13" spans="1:21" ht="14.25" x14ac:dyDescent="0.15">
      <c r="A13" s="265"/>
      <c r="B13" s="132"/>
      <c r="C13" s="132" t="s">
        <v>32</v>
      </c>
      <c r="D13" s="132"/>
      <c r="E13" s="56"/>
      <c r="F13" s="56"/>
      <c r="G13" s="132"/>
      <c r="H13" s="135">
        <v>20</v>
      </c>
      <c r="I13" s="132"/>
      <c r="J13" s="132" t="s">
        <v>32</v>
      </c>
      <c r="K13" s="135">
        <v>20</v>
      </c>
      <c r="L13" s="132" t="s">
        <v>402</v>
      </c>
      <c r="M13" s="132" t="s">
        <v>32</v>
      </c>
      <c r="N13" s="135">
        <v>10</v>
      </c>
      <c r="O13" s="134"/>
    </row>
    <row r="14" spans="1:21" ht="14.25" x14ac:dyDescent="0.15">
      <c r="A14" s="265"/>
      <c r="B14" s="132"/>
      <c r="C14" s="132" t="s">
        <v>33</v>
      </c>
      <c r="D14" s="132"/>
      <c r="E14" s="56"/>
      <c r="F14" s="56"/>
      <c r="G14" s="132"/>
      <c r="H14" s="135">
        <v>10</v>
      </c>
      <c r="I14" s="132"/>
      <c r="J14" s="132" t="s">
        <v>33</v>
      </c>
      <c r="K14" s="135">
        <v>10</v>
      </c>
      <c r="L14" s="132"/>
      <c r="M14" s="132" t="s">
        <v>33</v>
      </c>
      <c r="N14" s="135">
        <v>10</v>
      </c>
      <c r="O14" s="134"/>
    </row>
    <row r="15" spans="1:21" ht="14.25" x14ac:dyDescent="0.15">
      <c r="A15" s="265"/>
      <c r="B15" s="132"/>
      <c r="C15" s="132" t="s">
        <v>146</v>
      </c>
      <c r="D15" s="132"/>
      <c r="E15" s="56"/>
      <c r="F15" s="56"/>
      <c r="G15" s="132"/>
      <c r="H15" s="135">
        <v>10</v>
      </c>
      <c r="I15" s="132"/>
      <c r="J15" s="132" t="s">
        <v>146</v>
      </c>
      <c r="K15" s="135">
        <v>10</v>
      </c>
      <c r="L15" s="132"/>
      <c r="M15" s="132" t="s">
        <v>146</v>
      </c>
      <c r="N15" s="135">
        <v>10</v>
      </c>
      <c r="O15" s="134"/>
    </row>
    <row r="16" spans="1:21" ht="14.25" x14ac:dyDescent="0.15">
      <c r="A16" s="265"/>
      <c r="B16" s="132"/>
      <c r="C16" s="132" t="s">
        <v>147</v>
      </c>
      <c r="D16" s="132"/>
      <c r="E16" s="56"/>
      <c r="F16" s="56"/>
      <c r="G16" s="132"/>
      <c r="H16" s="135">
        <v>5</v>
      </c>
      <c r="I16" s="132"/>
      <c r="J16" s="132"/>
      <c r="K16" s="135"/>
      <c r="L16" s="129"/>
      <c r="M16" s="129"/>
      <c r="N16" s="130"/>
      <c r="O16" s="131"/>
    </row>
    <row r="17" spans="1:15" ht="14.25" x14ac:dyDescent="0.15">
      <c r="A17" s="265"/>
      <c r="B17" s="132"/>
      <c r="C17" s="132"/>
      <c r="D17" s="132"/>
      <c r="E17" s="56"/>
      <c r="F17" s="56"/>
      <c r="G17" s="132" t="s">
        <v>25</v>
      </c>
      <c r="H17" s="135" t="s">
        <v>354</v>
      </c>
      <c r="I17" s="132"/>
      <c r="J17" s="132"/>
      <c r="K17" s="135"/>
      <c r="L17" s="132" t="s">
        <v>381</v>
      </c>
      <c r="M17" s="132" t="s">
        <v>159</v>
      </c>
      <c r="N17" s="138">
        <v>0.13</v>
      </c>
      <c r="O17" s="134"/>
    </row>
    <row r="18" spans="1:15" ht="14.25" x14ac:dyDescent="0.15">
      <c r="A18" s="265"/>
      <c r="B18" s="132"/>
      <c r="C18" s="132"/>
      <c r="D18" s="132"/>
      <c r="E18" s="56"/>
      <c r="F18" s="56" t="s">
        <v>27</v>
      </c>
      <c r="G18" s="132" t="s">
        <v>26</v>
      </c>
      <c r="H18" s="135" t="s">
        <v>356</v>
      </c>
      <c r="I18" s="132"/>
      <c r="J18" s="132"/>
      <c r="K18" s="135"/>
      <c r="L18" s="132"/>
      <c r="M18" s="132"/>
      <c r="N18" s="135"/>
      <c r="O18" s="134"/>
    </row>
    <row r="19" spans="1:15" ht="14.25" x14ac:dyDescent="0.15">
      <c r="A19" s="265"/>
      <c r="B19" s="132"/>
      <c r="C19" s="132"/>
      <c r="D19" s="132"/>
      <c r="E19" s="56"/>
      <c r="F19" s="56"/>
      <c r="G19" s="132" t="s">
        <v>50</v>
      </c>
      <c r="H19" s="135" t="s">
        <v>356</v>
      </c>
      <c r="I19" s="129"/>
      <c r="J19" s="129"/>
      <c r="K19" s="130"/>
      <c r="L19" s="132"/>
      <c r="M19" s="132"/>
      <c r="N19" s="135"/>
      <c r="O19" s="134"/>
    </row>
    <row r="20" spans="1:15" ht="14.25" x14ac:dyDescent="0.15">
      <c r="A20" s="265"/>
      <c r="B20" s="129"/>
      <c r="C20" s="129"/>
      <c r="D20" s="129"/>
      <c r="E20" s="62"/>
      <c r="F20" s="62"/>
      <c r="G20" s="129"/>
      <c r="H20" s="130"/>
      <c r="I20" s="132" t="s">
        <v>158</v>
      </c>
      <c r="J20" s="132" t="s">
        <v>159</v>
      </c>
      <c r="K20" s="146">
        <v>0.17</v>
      </c>
      <c r="L20" s="132"/>
      <c r="M20" s="132"/>
      <c r="N20" s="135"/>
      <c r="O20" s="134"/>
    </row>
    <row r="21" spans="1:15" ht="14.25" x14ac:dyDescent="0.15">
      <c r="A21" s="265"/>
      <c r="B21" s="132" t="s">
        <v>158</v>
      </c>
      <c r="C21" s="132" t="s">
        <v>159</v>
      </c>
      <c r="D21" s="132"/>
      <c r="E21" s="56"/>
      <c r="F21" s="56"/>
      <c r="G21" s="132"/>
      <c r="H21" s="146">
        <v>0.17</v>
      </c>
      <c r="I21" s="132"/>
      <c r="J21" s="132"/>
      <c r="K21" s="135"/>
      <c r="L21" s="132"/>
      <c r="M21" s="132"/>
      <c r="N21" s="135"/>
      <c r="O21" s="134"/>
    </row>
    <row r="22" spans="1:15" ht="15" thickBot="1" x14ac:dyDescent="0.2">
      <c r="A22" s="266"/>
      <c r="B22" s="139"/>
      <c r="C22" s="139"/>
      <c r="D22" s="139"/>
      <c r="E22" s="69"/>
      <c r="F22" s="69"/>
      <c r="G22" s="139"/>
      <c r="H22" s="140"/>
      <c r="I22" s="139"/>
      <c r="J22" s="139"/>
      <c r="K22" s="140"/>
      <c r="L22" s="139"/>
      <c r="M22" s="139"/>
      <c r="N22" s="140"/>
      <c r="O22" s="141"/>
    </row>
    <row r="23" spans="1:15" ht="14.25" x14ac:dyDescent="0.15">
      <c r="B23" s="105"/>
      <c r="C23" s="105"/>
      <c r="D23" s="105"/>
      <c r="G23" s="105"/>
      <c r="H23" s="142"/>
      <c r="I23" s="105"/>
      <c r="J23" s="105"/>
      <c r="K23" s="142"/>
      <c r="L23" s="105"/>
      <c r="M23" s="105"/>
      <c r="N23" s="142"/>
    </row>
    <row r="24" spans="1:15" ht="14.25" x14ac:dyDescent="0.15">
      <c r="B24" s="105"/>
      <c r="C24" s="105"/>
      <c r="D24" s="105"/>
      <c r="G24" s="105"/>
      <c r="H24" s="142"/>
      <c r="I24" s="105"/>
      <c r="J24" s="105"/>
      <c r="K24" s="142"/>
      <c r="L24" s="105"/>
      <c r="M24" s="105"/>
      <c r="N24" s="142"/>
    </row>
    <row r="25" spans="1:15" ht="14.25" x14ac:dyDescent="0.15">
      <c r="B25" s="105"/>
      <c r="C25" s="105"/>
      <c r="D25" s="105"/>
      <c r="G25" s="105"/>
      <c r="H25" s="142"/>
      <c r="I25" s="105"/>
      <c r="J25" s="105"/>
      <c r="K25" s="142"/>
      <c r="L25" s="105"/>
      <c r="M25" s="105"/>
      <c r="N25" s="142"/>
    </row>
    <row r="26" spans="1:15" ht="14.25" x14ac:dyDescent="0.15">
      <c r="B26" s="105"/>
      <c r="C26" s="105"/>
      <c r="D26" s="105"/>
      <c r="G26" s="105"/>
      <c r="H26" s="142"/>
      <c r="I26" s="105"/>
      <c r="J26" s="105"/>
      <c r="K26" s="142"/>
      <c r="L26" s="105"/>
      <c r="M26" s="105"/>
      <c r="N26" s="142"/>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row r="57" spans="2:14" ht="14.25" x14ac:dyDescent="0.15">
      <c r="B57" s="105"/>
      <c r="C57" s="105"/>
      <c r="D57" s="105"/>
      <c r="G57" s="105"/>
      <c r="H57" s="142"/>
      <c r="I57" s="105"/>
      <c r="J57" s="105"/>
      <c r="K57" s="142"/>
      <c r="L57" s="105"/>
      <c r="M57" s="105"/>
      <c r="N57" s="142"/>
    </row>
    <row r="58" spans="2:14" ht="14.25" x14ac:dyDescent="0.15">
      <c r="B58" s="105"/>
      <c r="C58" s="105"/>
      <c r="D58" s="105"/>
      <c r="G58" s="105"/>
      <c r="H58" s="142"/>
      <c r="I58" s="105"/>
      <c r="J58" s="105"/>
      <c r="K58" s="142"/>
      <c r="L58" s="105"/>
      <c r="M58" s="105"/>
      <c r="N58" s="142"/>
    </row>
    <row r="59" spans="2:14" ht="14.25" x14ac:dyDescent="0.15">
      <c r="B59" s="105"/>
      <c r="C59" s="105"/>
      <c r="D59" s="105"/>
      <c r="G59" s="105"/>
      <c r="H59" s="142"/>
      <c r="I59" s="105"/>
      <c r="J59" s="105"/>
      <c r="K59" s="142"/>
      <c r="L59" s="105"/>
      <c r="M59" s="105"/>
      <c r="N59" s="142"/>
    </row>
    <row r="60" spans="2:14" ht="14.25" x14ac:dyDescent="0.15">
      <c r="B60" s="105"/>
      <c r="C60" s="105"/>
      <c r="D60" s="105"/>
      <c r="G60" s="105"/>
      <c r="H60" s="142"/>
      <c r="I60" s="105"/>
      <c r="J60" s="105"/>
      <c r="K60" s="142"/>
      <c r="L60" s="105"/>
      <c r="M60" s="105"/>
      <c r="N60" s="142"/>
    </row>
    <row r="61" spans="2:14" ht="14.25" x14ac:dyDescent="0.15">
      <c r="B61" s="105"/>
      <c r="C61" s="105"/>
      <c r="D61" s="105"/>
      <c r="G61" s="105"/>
      <c r="H61" s="142"/>
      <c r="I61" s="105"/>
      <c r="J61" s="105"/>
      <c r="K61" s="142"/>
      <c r="L61" s="105"/>
      <c r="M61" s="105"/>
      <c r="N61" s="142"/>
    </row>
  </sheetData>
  <mergeCells count="15">
    <mergeCell ref="L8:N8"/>
    <mergeCell ref="O8:O10"/>
    <mergeCell ref="I9:K9"/>
    <mergeCell ref="L9:N9"/>
    <mergeCell ref="A11:A22"/>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194</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279</v>
      </c>
      <c r="C10" s="48" t="s">
        <v>145</v>
      </c>
      <c r="D10" s="49"/>
      <c r="E10" s="54">
        <v>10</v>
      </c>
      <c r="F10" s="51" t="s">
        <v>29</v>
      </c>
      <c r="G10" s="84"/>
      <c r="H10" s="88" t="s">
        <v>145</v>
      </c>
      <c r="I10" s="49"/>
      <c r="J10" s="51">
        <f>ROUNDUP(E10*0.75,2)</f>
        <v>7.5</v>
      </c>
      <c r="K10" s="51" t="s">
        <v>29</v>
      </c>
      <c r="L10" s="51"/>
      <c r="M10" s="51">
        <f>ROUNDUP((R5*E10)+(R6*J10)+(R7*(E10*2)),2)</f>
        <v>0</v>
      </c>
      <c r="N10" s="92">
        <f>M10</f>
        <v>0</v>
      </c>
      <c r="O10" s="80" t="s">
        <v>195</v>
      </c>
      <c r="P10" s="52" t="s">
        <v>23</v>
      </c>
      <c r="Q10" s="49"/>
      <c r="R10" s="53">
        <v>110</v>
      </c>
      <c r="S10" s="54">
        <f t="shared" ref="S10:S17" si="0">ROUNDUP(R10*0.75,2)</f>
        <v>82.5</v>
      </c>
      <c r="T10" s="76">
        <f>ROUNDUP((R5*R10)+(R6*S10)+(R7*(R10*2)),2)</f>
        <v>0</v>
      </c>
    </row>
    <row r="11" spans="1:21" ht="18.75" customHeight="1" x14ac:dyDescent="0.15">
      <c r="A11" s="242"/>
      <c r="B11" s="101" t="s">
        <v>280</v>
      </c>
      <c r="C11" s="55" t="s">
        <v>56</v>
      </c>
      <c r="D11" s="56"/>
      <c r="E11" s="57">
        <v>20</v>
      </c>
      <c r="F11" s="58" t="s">
        <v>29</v>
      </c>
      <c r="G11" s="85"/>
      <c r="H11" s="89" t="s">
        <v>56</v>
      </c>
      <c r="I11" s="56"/>
      <c r="J11" s="58">
        <f>ROUNDUP(E11*0.75,2)</f>
        <v>15</v>
      </c>
      <c r="K11" s="58" t="s">
        <v>29</v>
      </c>
      <c r="L11" s="58"/>
      <c r="M11" s="58">
        <f>ROUNDUP((R5*E11)+(R6*J11)+(R7*(E11*2)),2)</f>
        <v>0</v>
      </c>
      <c r="N11" s="93">
        <f>ROUND(M11+(M11*6/100),2)</f>
        <v>0</v>
      </c>
      <c r="O11" s="81" t="s">
        <v>196</v>
      </c>
      <c r="P11" s="59" t="s">
        <v>39</v>
      </c>
      <c r="Q11" s="56" t="s">
        <v>40</v>
      </c>
      <c r="R11" s="60">
        <v>2</v>
      </c>
      <c r="S11" s="57">
        <f t="shared" si="0"/>
        <v>1.5</v>
      </c>
      <c r="T11" s="77">
        <f>ROUNDUP((R5*R11)+(R6*S11)+(R7*(R11*2)),2)</f>
        <v>0</v>
      </c>
    </row>
    <row r="12" spans="1:21" ht="18.75" customHeight="1" x14ac:dyDescent="0.15">
      <c r="A12" s="242"/>
      <c r="B12" s="81"/>
      <c r="C12" s="55" t="s">
        <v>140</v>
      </c>
      <c r="D12" s="56"/>
      <c r="E12" s="57">
        <v>5</v>
      </c>
      <c r="F12" s="58" t="s">
        <v>29</v>
      </c>
      <c r="G12" s="85"/>
      <c r="H12" s="89" t="s">
        <v>140</v>
      </c>
      <c r="I12" s="56"/>
      <c r="J12" s="58">
        <f>ROUNDUP(E12*0.75,2)</f>
        <v>3.75</v>
      </c>
      <c r="K12" s="58" t="s">
        <v>29</v>
      </c>
      <c r="L12" s="58"/>
      <c r="M12" s="58">
        <f>ROUNDUP((R5*E12)+(R6*J12)+(R7*(E12*2)),2)</f>
        <v>0</v>
      </c>
      <c r="N12" s="93">
        <f>M12</f>
        <v>0</v>
      </c>
      <c r="O12" s="81" t="s">
        <v>197</v>
      </c>
      <c r="P12" s="59" t="s">
        <v>41</v>
      </c>
      <c r="Q12" s="56"/>
      <c r="R12" s="60">
        <v>0.1</v>
      </c>
      <c r="S12" s="57">
        <f t="shared" si="0"/>
        <v>0.08</v>
      </c>
      <c r="T12" s="77">
        <f>ROUNDUP((R5*R12)+(R6*S12)+(R7*(R12*2)),2)</f>
        <v>0</v>
      </c>
    </row>
    <row r="13" spans="1:21" ht="18.75" customHeight="1" x14ac:dyDescent="0.15">
      <c r="A13" s="242"/>
      <c r="B13" s="81"/>
      <c r="C13" s="55" t="s">
        <v>36</v>
      </c>
      <c r="D13" s="56" t="s">
        <v>37</v>
      </c>
      <c r="E13" s="57">
        <v>1</v>
      </c>
      <c r="F13" s="58" t="s">
        <v>38</v>
      </c>
      <c r="G13" s="85"/>
      <c r="H13" s="89" t="s">
        <v>36</v>
      </c>
      <c r="I13" s="56" t="s">
        <v>37</v>
      </c>
      <c r="J13" s="58">
        <f>ROUNDUP(E13*0.75,2)</f>
        <v>0.75</v>
      </c>
      <c r="K13" s="58" t="s">
        <v>38</v>
      </c>
      <c r="L13" s="58"/>
      <c r="M13" s="58">
        <f>ROUNDUP((R5*E13)+(R6*J13)+(R7*(E13*2)),2)</f>
        <v>0</v>
      </c>
      <c r="N13" s="93">
        <f>M13</f>
        <v>0</v>
      </c>
      <c r="O13" s="81" t="s">
        <v>198</v>
      </c>
      <c r="P13" s="59" t="s">
        <v>57</v>
      </c>
      <c r="Q13" s="56"/>
      <c r="R13" s="60">
        <v>8</v>
      </c>
      <c r="S13" s="57">
        <f t="shared" si="0"/>
        <v>6</v>
      </c>
      <c r="T13" s="77">
        <f>ROUNDUP((R5*R13)+(R6*S13)+(R7*(R13*2)),2)</f>
        <v>0</v>
      </c>
    </row>
    <row r="14" spans="1:21" ht="18.75" customHeight="1" x14ac:dyDescent="0.15">
      <c r="A14" s="242"/>
      <c r="B14" s="81"/>
      <c r="C14" s="55"/>
      <c r="D14" s="56"/>
      <c r="E14" s="57"/>
      <c r="F14" s="58"/>
      <c r="G14" s="85"/>
      <c r="H14" s="89"/>
      <c r="I14" s="56"/>
      <c r="J14" s="58"/>
      <c r="K14" s="58"/>
      <c r="L14" s="58"/>
      <c r="M14" s="58"/>
      <c r="N14" s="93"/>
      <c r="O14" s="81" t="s">
        <v>199</v>
      </c>
      <c r="P14" s="59" t="s">
        <v>41</v>
      </c>
      <c r="Q14" s="56"/>
      <c r="R14" s="60">
        <v>0.1</v>
      </c>
      <c r="S14" s="57">
        <f t="shared" si="0"/>
        <v>0.08</v>
      </c>
      <c r="T14" s="77">
        <f>ROUNDUP((R5*R14)+(R6*S14)+(R7*(R14*2)),2)</f>
        <v>0</v>
      </c>
    </row>
    <row r="15" spans="1:21" ht="18.75" customHeight="1" x14ac:dyDescent="0.15">
      <c r="A15" s="242"/>
      <c r="B15" s="81"/>
      <c r="C15" s="55"/>
      <c r="D15" s="56"/>
      <c r="E15" s="57"/>
      <c r="F15" s="58"/>
      <c r="G15" s="85"/>
      <c r="H15" s="89"/>
      <c r="I15" s="56"/>
      <c r="J15" s="58"/>
      <c r="K15" s="58"/>
      <c r="L15" s="58"/>
      <c r="M15" s="58"/>
      <c r="N15" s="93"/>
      <c r="O15" s="81" t="s">
        <v>200</v>
      </c>
      <c r="P15" s="59" t="s">
        <v>42</v>
      </c>
      <c r="Q15" s="56"/>
      <c r="R15" s="60">
        <v>0.01</v>
      </c>
      <c r="S15" s="57">
        <f t="shared" si="0"/>
        <v>0.01</v>
      </c>
      <c r="T15" s="77">
        <f>ROUNDUP((R5*R15)+(R6*S15)+(R7*(R15*2)),2)</f>
        <v>0</v>
      </c>
    </row>
    <row r="16" spans="1:21" ht="18.75" customHeight="1" x14ac:dyDescent="0.15">
      <c r="A16" s="242"/>
      <c r="B16" s="81"/>
      <c r="C16" s="55"/>
      <c r="D16" s="56"/>
      <c r="E16" s="57"/>
      <c r="F16" s="58"/>
      <c r="G16" s="85"/>
      <c r="H16" s="89"/>
      <c r="I16" s="56"/>
      <c r="J16" s="58"/>
      <c r="K16" s="58"/>
      <c r="L16" s="58"/>
      <c r="M16" s="58"/>
      <c r="N16" s="93"/>
      <c r="O16" s="81" t="s">
        <v>28</v>
      </c>
      <c r="P16" s="59" t="s">
        <v>54</v>
      </c>
      <c r="Q16" s="56"/>
      <c r="R16" s="60">
        <v>1</v>
      </c>
      <c r="S16" s="57">
        <f t="shared" si="0"/>
        <v>0.75</v>
      </c>
      <c r="T16" s="77">
        <f>ROUNDUP((R5*R16)+(R6*S16)+(R7*(R16*2)),2)</f>
        <v>0</v>
      </c>
    </row>
    <row r="17" spans="1:20" ht="18.75" customHeight="1" x14ac:dyDescent="0.15">
      <c r="A17" s="242"/>
      <c r="B17" s="81"/>
      <c r="C17" s="55"/>
      <c r="D17" s="56"/>
      <c r="E17" s="57"/>
      <c r="F17" s="58"/>
      <c r="G17" s="85"/>
      <c r="H17" s="89"/>
      <c r="I17" s="56"/>
      <c r="J17" s="58"/>
      <c r="K17" s="58"/>
      <c r="L17" s="58"/>
      <c r="M17" s="58"/>
      <c r="N17" s="93"/>
      <c r="O17" s="81"/>
      <c r="P17" s="59" t="s">
        <v>57</v>
      </c>
      <c r="Q17" s="56"/>
      <c r="R17" s="60">
        <v>3</v>
      </c>
      <c r="S17" s="57">
        <f t="shared" si="0"/>
        <v>2.25</v>
      </c>
      <c r="T17" s="77">
        <f>ROUNDUP((R5*R17)+(R6*S17)+(R7*(R17*2)),2)</f>
        <v>0</v>
      </c>
    </row>
    <row r="18" spans="1:20" ht="18.75" customHeight="1" x14ac:dyDescent="0.15">
      <c r="A18" s="242"/>
      <c r="B18" s="82"/>
      <c r="C18" s="61"/>
      <c r="D18" s="62"/>
      <c r="E18" s="63"/>
      <c r="F18" s="64"/>
      <c r="G18" s="86"/>
      <c r="H18" s="90"/>
      <c r="I18" s="62"/>
      <c r="J18" s="64"/>
      <c r="K18" s="64"/>
      <c r="L18" s="64"/>
      <c r="M18" s="64"/>
      <c r="N18" s="94"/>
      <c r="O18" s="82"/>
      <c r="P18" s="65"/>
      <c r="Q18" s="62"/>
      <c r="R18" s="66"/>
      <c r="S18" s="63"/>
      <c r="T18" s="78"/>
    </row>
    <row r="19" spans="1:20" ht="18.75" customHeight="1" x14ac:dyDescent="0.15">
      <c r="A19" s="242"/>
      <c r="B19" s="81" t="s">
        <v>201</v>
      </c>
      <c r="C19" s="55" t="s">
        <v>76</v>
      </c>
      <c r="D19" s="56"/>
      <c r="E19" s="57">
        <v>30</v>
      </c>
      <c r="F19" s="58" t="s">
        <v>29</v>
      </c>
      <c r="G19" s="85"/>
      <c r="H19" s="89" t="s">
        <v>76</v>
      </c>
      <c r="I19" s="56"/>
      <c r="J19" s="58">
        <f>ROUNDUP(E19*0.75,2)</f>
        <v>22.5</v>
      </c>
      <c r="K19" s="58" t="s">
        <v>29</v>
      </c>
      <c r="L19" s="58"/>
      <c r="M19" s="58">
        <f>ROUNDUP((R5*E19)+(R6*J19)+(R7*(E19*2)),2)</f>
        <v>0</v>
      </c>
      <c r="N19" s="93">
        <f>ROUND(M19+(M19*6/100),2)</f>
        <v>0</v>
      </c>
      <c r="O19" s="81" t="s">
        <v>193</v>
      </c>
      <c r="P19" s="59" t="s">
        <v>50</v>
      </c>
      <c r="Q19" s="56"/>
      <c r="R19" s="60">
        <v>1</v>
      </c>
      <c r="S19" s="57">
        <f>ROUNDUP(R19*0.75,2)</f>
        <v>0.75</v>
      </c>
      <c r="T19" s="77">
        <f>ROUNDUP((R5*R19)+(R6*S19)+(R7*(R19*2)),2)</f>
        <v>0</v>
      </c>
    </row>
    <row r="20" spans="1:20" ht="18.75" customHeight="1" x14ac:dyDescent="0.15">
      <c r="A20" s="242"/>
      <c r="B20" s="81"/>
      <c r="C20" s="55" t="s">
        <v>33</v>
      </c>
      <c r="D20" s="56"/>
      <c r="E20" s="57">
        <v>10</v>
      </c>
      <c r="F20" s="58" t="s">
        <v>29</v>
      </c>
      <c r="G20" s="85"/>
      <c r="H20" s="89" t="s">
        <v>33</v>
      </c>
      <c r="I20" s="56"/>
      <c r="J20" s="58">
        <f>ROUNDUP(E20*0.75,2)</f>
        <v>7.5</v>
      </c>
      <c r="K20" s="58" t="s">
        <v>29</v>
      </c>
      <c r="L20" s="58"/>
      <c r="M20" s="58">
        <f>ROUNDUP((R5*E20)+(R6*J20)+(R7*(E20*2)),2)</f>
        <v>0</v>
      </c>
      <c r="N20" s="93">
        <f>ROUND(M20+(M20*10/100),2)</f>
        <v>0</v>
      </c>
      <c r="O20" s="81" t="s">
        <v>202</v>
      </c>
      <c r="P20" s="59" t="s">
        <v>41</v>
      </c>
      <c r="Q20" s="56"/>
      <c r="R20" s="60">
        <v>0.1</v>
      </c>
      <c r="S20" s="57">
        <f>ROUNDUP(R20*0.75,2)</f>
        <v>0.08</v>
      </c>
      <c r="T20" s="77">
        <f>ROUNDUP((R5*R20)+(R6*S20)+(R7*(R20*2)),2)</f>
        <v>0</v>
      </c>
    </row>
    <row r="21" spans="1:20" ht="18.75" customHeight="1" x14ac:dyDescent="0.15">
      <c r="A21" s="242"/>
      <c r="B21" s="81"/>
      <c r="C21" s="55" t="s">
        <v>143</v>
      </c>
      <c r="D21" s="56"/>
      <c r="E21" s="57">
        <v>2</v>
      </c>
      <c r="F21" s="58" t="s">
        <v>29</v>
      </c>
      <c r="G21" s="85"/>
      <c r="H21" s="89" t="s">
        <v>143</v>
      </c>
      <c r="I21" s="56"/>
      <c r="J21" s="58">
        <f>ROUNDUP(E21*0.75,2)</f>
        <v>1.5</v>
      </c>
      <c r="K21" s="58" t="s">
        <v>29</v>
      </c>
      <c r="L21" s="58"/>
      <c r="M21" s="58">
        <f>ROUNDUP((R5*E21)+(R6*J21)+(R7*(E21*2)),2)</f>
        <v>0</v>
      </c>
      <c r="N21" s="93">
        <f>M21</f>
        <v>0</v>
      </c>
      <c r="O21" s="81" t="s">
        <v>28</v>
      </c>
      <c r="P21" s="59" t="s">
        <v>88</v>
      </c>
      <c r="Q21" s="56"/>
      <c r="R21" s="60">
        <v>2</v>
      </c>
      <c r="S21" s="57">
        <f>ROUNDUP(R21*0.75,2)</f>
        <v>1.5</v>
      </c>
      <c r="T21" s="77">
        <f>ROUNDUP((R5*R21)+(R6*S21)+(R7*(R21*2)),2)</f>
        <v>0</v>
      </c>
    </row>
    <row r="22" spans="1:20" ht="18.75" customHeight="1" x14ac:dyDescent="0.15">
      <c r="A22" s="242"/>
      <c r="B22" s="81"/>
      <c r="C22" s="55"/>
      <c r="D22" s="56"/>
      <c r="E22" s="57"/>
      <c r="F22" s="58"/>
      <c r="G22" s="85"/>
      <c r="H22" s="89"/>
      <c r="I22" s="56"/>
      <c r="J22" s="58"/>
      <c r="K22" s="58"/>
      <c r="L22" s="58"/>
      <c r="M22" s="58"/>
      <c r="N22" s="93"/>
      <c r="O22" s="81"/>
      <c r="P22" s="59" t="s">
        <v>54</v>
      </c>
      <c r="Q22" s="56"/>
      <c r="R22" s="60">
        <v>2</v>
      </c>
      <c r="S22" s="57">
        <f>ROUNDUP(R22*0.75,2)</f>
        <v>1.5</v>
      </c>
      <c r="T22" s="77">
        <f>ROUNDUP((R5*R22)+(R6*S22)+(R7*(R22*2)),2)</f>
        <v>0</v>
      </c>
    </row>
    <row r="23" spans="1:20" ht="18.75" customHeight="1" x14ac:dyDescent="0.15">
      <c r="A23" s="242"/>
      <c r="B23" s="82"/>
      <c r="C23" s="61"/>
      <c r="D23" s="62"/>
      <c r="E23" s="63"/>
      <c r="F23" s="64"/>
      <c r="G23" s="86"/>
      <c r="H23" s="90"/>
      <c r="I23" s="62"/>
      <c r="J23" s="64"/>
      <c r="K23" s="64"/>
      <c r="L23" s="64"/>
      <c r="M23" s="64"/>
      <c r="N23" s="94"/>
      <c r="O23" s="82"/>
      <c r="P23" s="65"/>
      <c r="Q23" s="62"/>
      <c r="R23" s="66"/>
      <c r="S23" s="63"/>
      <c r="T23" s="78"/>
    </row>
    <row r="24" spans="1:20" ht="18.75" customHeight="1" x14ac:dyDescent="0.15">
      <c r="A24" s="242"/>
      <c r="B24" s="81" t="s">
        <v>127</v>
      </c>
      <c r="C24" s="55" t="s">
        <v>89</v>
      </c>
      <c r="D24" s="56"/>
      <c r="E24" s="57">
        <v>10</v>
      </c>
      <c r="F24" s="58" t="s">
        <v>29</v>
      </c>
      <c r="G24" s="85"/>
      <c r="H24" s="89" t="s">
        <v>89</v>
      </c>
      <c r="I24" s="56"/>
      <c r="J24" s="58">
        <f>ROUNDUP(E24*0.75,2)</f>
        <v>7.5</v>
      </c>
      <c r="K24" s="58" t="s">
        <v>29</v>
      </c>
      <c r="L24" s="58"/>
      <c r="M24" s="58">
        <f>ROUNDUP((R5*E24)+(R6*J24)+(R7*(E24*2)),2)</f>
        <v>0</v>
      </c>
      <c r="N24" s="93">
        <f>ROUND(M24+(M24*15/100),2)</f>
        <v>0</v>
      </c>
      <c r="O24" s="81" t="s">
        <v>28</v>
      </c>
      <c r="P24" s="59" t="s">
        <v>55</v>
      </c>
      <c r="Q24" s="56"/>
      <c r="R24" s="60">
        <v>100</v>
      </c>
      <c r="S24" s="57">
        <f>ROUNDUP(R24*0.75,2)</f>
        <v>75</v>
      </c>
      <c r="T24" s="77">
        <f>ROUNDUP((R5*R24)+(R6*S24)+(R7*(R24*2)),2)</f>
        <v>0</v>
      </c>
    </row>
    <row r="25" spans="1:20" ht="18.75" customHeight="1" x14ac:dyDescent="0.15">
      <c r="A25" s="242"/>
      <c r="B25" s="81"/>
      <c r="C25" s="55" t="s">
        <v>162</v>
      </c>
      <c r="D25" s="56"/>
      <c r="E25" s="57">
        <v>5</v>
      </c>
      <c r="F25" s="58" t="s">
        <v>29</v>
      </c>
      <c r="G25" s="85"/>
      <c r="H25" s="89" t="s">
        <v>162</v>
      </c>
      <c r="I25" s="56"/>
      <c r="J25" s="58">
        <f>ROUNDUP(E25*0.75,2)</f>
        <v>3.75</v>
      </c>
      <c r="K25" s="58" t="s">
        <v>29</v>
      </c>
      <c r="L25" s="58"/>
      <c r="M25" s="58">
        <f>ROUNDUP((R5*E25)+(R6*J25)+(R7*(E25*2)),2)</f>
        <v>0</v>
      </c>
      <c r="N25" s="93">
        <f>ROUND(M25+(M25*15/100),2)</f>
        <v>0</v>
      </c>
      <c r="O25" s="81"/>
      <c r="P25" s="59" t="s">
        <v>41</v>
      </c>
      <c r="Q25" s="56"/>
      <c r="R25" s="60">
        <v>0.1</v>
      </c>
      <c r="S25" s="57">
        <f>ROUNDUP(R25*0.75,2)</f>
        <v>0.08</v>
      </c>
      <c r="T25" s="77">
        <f>ROUNDUP((R5*R25)+(R6*S25)+(R7*(R25*2)),2)</f>
        <v>0</v>
      </c>
    </row>
    <row r="26" spans="1:20" ht="18.75" customHeight="1" x14ac:dyDescent="0.15">
      <c r="A26" s="242"/>
      <c r="B26" s="81"/>
      <c r="C26" s="55"/>
      <c r="D26" s="56"/>
      <c r="E26" s="57"/>
      <c r="F26" s="58"/>
      <c r="G26" s="85"/>
      <c r="H26" s="89"/>
      <c r="I26" s="56"/>
      <c r="J26" s="58"/>
      <c r="K26" s="58"/>
      <c r="L26" s="58"/>
      <c r="M26" s="58"/>
      <c r="N26" s="93"/>
      <c r="O26" s="81"/>
      <c r="P26" s="59" t="s">
        <v>128</v>
      </c>
      <c r="Q26" s="56" t="s">
        <v>129</v>
      </c>
      <c r="R26" s="60">
        <v>0.5</v>
      </c>
      <c r="S26" s="57">
        <f>ROUNDUP(R26*0.75,2)</f>
        <v>0.38</v>
      </c>
      <c r="T26" s="77">
        <f>ROUNDUP((R5*R26)+(R6*S26)+(R7*(R26*2)),2)</f>
        <v>0</v>
      </c>
    </row>
    <row r="27" spans="1:20" ht="18.75" customHeight="1" x14ac:dyDescent="0.15">
      <c r="A27" s="242"/>
      <c r="B27" s="82"/>
      <c r="C27" s="61"/>
      <c r="D27" s="62"/>
      <c r="E27" s="63"/>
      <c r="F27" s="64"/>
      <c r="G27" s="86"/>
      <c r="H27" s="90"/>
      <c r="I27" s="62"/>
      <c r="J27" s="64"/>
      <c r="K27" s="64"/>
      <c r="L27" s="64"/>
      <c r="M27" s="64"/>
      <c r="N27" s="94"/>
      <c r="O27" s="82"/>
      <c r="P27" s="65"/>
      <c r="Q27" s="62"/>
      <c r="R27" s="66"/>
      <c r="S27" s="63"/>
      <c r="T27" s="78"/>
    </row>
    <row r="28" spans="1:20" ht="18.75" customHeight="1" x14ac:dyDescent="0.15">
      <c r="A28" s="242"/>
      <c r="B28" s="81" t="s">
        <v>82</v>
      </c>
      <c r="C28" s="55" t="s">
        <v>83</v>
      </c>
      <c r="D28" s="56"/>
      <c r="E28" s="98">
        <v>0.16666666666666666</v>
      </c>
      <c r="F28" s="58" t="s">
        <v>38</v>
      </c>
      <c r="G28" s="85"/>
      <c r="H28" s="89" t="s">
        <v>83</v>
      </c>
      <c r="I28" s="56"/>
      <c r="J28" s="58">
        <f>ROUNDUP(E28*0.75,2)</f>
        <v>0.13</v>
      </c>
      <c r="K28" s="58" t="s">
        <v>38</v>
      </c>
      <c r="L28" s="58"/>
      <c r="M28" s="58">
        <f>ROUNDUP((R5*E28)+(R6*J28)+(R7*(E28*2)),2)</f>
        <v>0</v>
      </c>
      <c r="N28" s="93">
        <f>M28</f>
        <v>0</v>
      </c>
      <c r="O28" s="81" t="s">
        <v>61</v>
      </c>
      <c r="P28" s="59"/>
      <c r="Q28" s="56"/>
      <c r="R28" s="60"/>
      <c r="S28" s="57"/>
      <c r="T28" s="77"/>
    </row>
    <row r="29" spans="1:20" ht="18.75" customHeight="1" thickBot="1" x14ac:dyDescent="0.2">
      <c r="A29" s="243"/>
      <c r="B29" s="83"/>
      <c r="C29" s="68"/>
      <c r="D29" s="69"/>
      <c r="E29" s="70"/>
      <c r="F29" s="71"/>
      <c r="G29" s="87"/>
      <c r="H29" s="91"/>
      <c r="I29" s="69"/>
      <c r="J29" s="71"/>
      <c r="K29" s="71"/>
      <c r="L29" s="71"/>
      <c r="M29" s="71"/>
      <c r="N29" s="95"/>
      <c r="O29" s="83"/>
      <c r="P29" s="72"/>
      <c r="Q29" s="69"/>
      <c r="R29" s="73"/>
      <c r="S29" s="70"/>
      <c r="T29" s="79"/>
    </row>
  </sheetData>
  <mergeCells count="5">
    <mergeCell ref="H1:O1"/>
    <mergeCell ref="A2:T2"/>
    <mergeCell ref="Q3:T3"/>
    <mergeCell ref="A8:F8"/>
    <mergeCell ref="A10:A29"/>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403</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404</v>
      </c>
      <c r="C13" s="132" t="s">
        <v>145</v>
      </c>
      <c r="D13" s="132"/>
      <c r="E13" s="56"/>
      <c r="F13" s="56"/>
      <c r="G13" s="132"/>
      <c r="H13" s="135">
        <v>10</v>
      </c>
      <c r="I13" s="132" t="s">
        <v>404</v>
      </c>
      <c r="J13" s="136" t="s">
        <v>353</v>
      </c>
      <c r="K13" s="135">
        <v>5</v>
      </c>
      <c r="L13" s="132" t="s">
        <v>405</v>
      </c>
      <c r="M13" s="132" t="s">
        <v>56</v>
      </c>
      <c r="N13" s="135">
        <v>10</v>
      </c>
      <c r="O13" s="134"/>
    </row>
    <row r="14" spans="1:21" ht="14.25" x14ac:dyDescent="0.15">
      <c r="A14" s="265"/>
      <c r="B14" s="132"/>
      <c r="C14" s="132" t="s">
        <v>56</v>
      </c>
      <c r="D14" s="132"/>
      <c r="E14" s="56"/>
      <c r="F14" s="56"/>
      <c r="G14" s="132"/>
      <c r="H14" s="135">
        <v>20</v>
      </c>
      <c r="I14" s="132"/>
      <c r="J14" s="132" t="s">
        <v>56</v>
      </c>
      <c r="K14" s="135">
        <v>10</v>
      </c>
      <c r="L14" s="132"/>
      <c r="M14" s="132" t="s">
        <v>89</v>
      </c>
      <c r="N14" s="135">
        <v>5</v>
      </c>
      <c r="O14" s="134"/>
    </row>
    <row r="15" spans="1:21" ht="14.25" x14ac:dyDescent="0.15">
      <c r="A15" s="265"/>
      <c r="B15" s="132"/>
      <c r="C15" s="132" t="s">
        <v>36</v>
      </c>
      <c r="D15" s="132"/>
      <c r="E15" s="56" t="s">
        <v>37</v>
      </c>
      <c r="F15" s="56"/>
      <c r="G15" s="132"/>
      <c r="H15" s="138">
        <v>0.13</v>
      </c>
      <c r="I15" s="132"/>
      <c r="J15" s="132" t="s">
        <v>375</v>
      </c>
      <c r="K15" s="138">
        <v>0.13</v>
      </c>
      <c r="L15" s="129"/>
      <c r="M15" s="129"/>
      <c r="N15" s="130"/>
      <c r="O15" s="131"/>
    </row>
    <row r="16" spans="1:21" ht="14.25" x14ac:dyDescent="0.15">
      <c r="A16" s="265"/>
      <c r="B16" s="132"/>
      <c r="C16" s="132"/>
      <c r="D16" s="132"/>
      <c r="E16" s="56"/>
      <c r="F16" s="56"/>
      <c r="G16" s="132" t="s">
        <v>25</v>
      </c>
      <c r="H16" s="135" t="s">
        <v>354</v>
      </c>
      <c r="I16" s="132"/>
      <c r="J16" s="132"/>
      <c r="K16" s="135"/>
      <c r="L16" s="132" t="s">
        <v>406</v>
      </c>
      <c r="M16" s="132" t="s">
        <v>76</v>
      </c>
      <c r="N16" s="135">
        <v>10</v>
      </c>
      <c r="O16" s="134"/>
    </row>
    <row r="17" spans="1:15" ht="14.25" x14ac:dyDescent="0.15">
      <c r="A17" s="265"/>
      <c r="B17" s="132"/>
      <c r="C17" s="132"/>
      <c r="D17" s="132"/>
      <c r="E17" s="56"/>
      <c r="F17" s="56"/>
      <c r="G17" s="132" t="s">
        <v>50</v>
      </c>
      <c r="H17" s="135" t="s">
        <v>356</v>
      </c>
      <c r="I17" s="132"/>
      <c r="J17" s="132"/>
      <c r="K17" s="135"/>
      <c r="L17" s="132"/>
      <c r="M17" s="132" t="s">
        <v>33</v>
      </c>
      <c r="N17" s="135">
        <v>5</v>
      </c>
      <c r="O17" s="134"/>
    </row>
    <row r="18" spans="1:15" ht="14.25" x14ac:dyDescent="0.15">
      <c r="A18" s="265"/>
      <c r="B18" s="132"/>
      <c r="C18" s="132"/>
      <c r="D18" s="132"/>
      <c r="E18" s="56"/>
      <c r="F18" s="56" t="s">
        <v>27</v>
      </c>
      <c r="G18" s="132" t="s">
        <v>26</v>
      </c>
      <c r="H18" s="135" t="s">
        <v>356</v>
      </c>
      <c r="I18" s="132"/>
      <c r="J18" s="132"/>
      <c r="K18" s="135"/>
      <c r="L18" s="129"/>
      <c r="M18" s="129"/>
      <c r="N18" s="130"/>
      <c r="O18" s="131"/>
    </row>
    <row r="19" spans="1:15" ht="14.25" x14ac:dyDescent="0.15">
      <c r="A19" s="265"/>
      <c r="B19" s="129"/>
      <c r="C19" s="129"/>
      <c r="D19" s="129"/>
      <c r="E19" s="62"/>
      <c r="F19" s="62"/>
      <c r="G19" s="129"/>
      <c r="H19" s="130"/>
      <c r="I19" s="129"/>
      <c r="J19" s="129"/>
      <c r="K19" s="130"/>
      <c r="L19" s="132" t="s">
        <v>82</v>
      </c>
      <c r="M19" s="132" t="s">
        <v>83</v>
      </c>
      <c r="N19" s="133">
        <v>0.1</v>
      </c>
      <c r="O19" s="134"/>
    </row>
    <row r="20" spans="1:15" ht="14.25" x14ac:dyDescent="0.15">
      <c r="A20" s="265"/>
      <c r="B20" s="132" t="s">
        <v>407</v>
      </c>
      <c r="C20" s="132" t="s">
        <v>76</v>
      </c>
      <c r="D20" s="132"/>
      <c r="E20" s="56"/>
      <c r="F20" s="56"/>
      <c r="G20" s="132"/>
      <c r="H20" s="135">
        <v>20</v>
      </c>
      <c r="I20" s="132" t="s">
        <v>407</v>
      </c>
      <c r="J20" s="132" t="s">
        <v>76</v>
      </c>
      <c r="K20" s="135">
        <v>20</v>
      </c>
      <c r="L20" s="132"/>
      <c r="M20" s="132"/>
      <c r="N20" s="135"/>
      <c r="O20" s="134"/>
    </row>
    <row r="21" spans="1:15" ht="14.25" x14ac:dyDescent="0.15">
      <c r="A21" s="265"/>
      <c r="B21" s="132"/>
      <c r="C21" s="132" t="s">
        <v>33</v>
      </c>
      <c r="D21" s="132"/>
      <c r="E21" s="56"/>
      <c r="F21" s="56"/>
      <c r="G21" s="132"/>
      <c r="H21" s="135">
        <v>5</v>
      </c>
      <c r="I21" s="132"/>
      <c r="J21" s="132" t="s">
        <v>33</v>
      </c>
      <c r="K21" s="135">
        <v>5</v>
      </c>
      <c r="L21" s="132"/>
      <c r="M21" s="132"/>
      <c r="N21" s="135"/>
      <c r="O21" s="134"/>
    </row>
    <row r="22" spans="1:15" ht="14.25" x14ac:dyDescent="0.15">
      <c r="A22" s="265"/>
      <c r="B22" s="129"/>
      <c r="C22" s="129"/>
      <c r="D22" s="129"/>
      <c r="E22" s="62"/>
      <c r="F22" s="62"/>
      <c r="G22" s="129"/>
      <c r="H22" s="130"/>
      <c r="I22" s="129"/>
      <c r="J22" s="129"/>
      <c r="K22" s="130"/>
      <c r="L22" s="132"/>
      <c r="M22" s="132"/>
      <c r="N22" s="135"/>
      <c r="O22" s="134"/>
    </row>
    <row r="23" spans="1:15" ht="14.25" x14ac:dyDescent="0.15">
      <c r="A23" s="265"/>
      <c r="B23" s="132" t="s">
        <v>127</v>
      </c>
      <c r="C23" s="132" t="s">
        <v>89</v>
      </c>
      <c r="D23" s="132"/>
      <c r="E23" s="56"/>
      <c r="F23" s="137"/>
      <c r="G23" s="132"/>
      <c r="H23" s="135">
        <v>10</v>
      </c>
      <c r="I23" s="132" t="s">
        <v>127</v>
      </c>
      <c r="J23" s="132" t="s">
        <v>89</v>
      </c>
      <c r="K23" s="135">
        <v>10</v>
      </c>
      <c r="L23" s="132"/>
      <c r="M23" s="132"/>
      <c r="N23" s="135"/>
      <c r="O23" s="134"/>
    </row>
    <row r="24" spans="1:15" ht="14.25" x14ac:dyDescent="0.15">
      <c r="A24" s="265"/>
      <c r="B24" s="132"/>
      <c r="C24" s="132"/>
      <c r="D24" s="132"/>
      <c r="E24" s="56"/>
      <c r="F24" s="56"/>
      <c r="G24" s="132" t="s">
        <v>55</v>
      </c>
      <c r="H24" s="135" t="s">
        <v>354</v>
      </c>
      <c r="I24" s="132"/>
      <c r="J24" s="132"/>
      <c r="K24" s="135"/>
      <c r="L24" s="132"/>
      <c r="M24" s="132"/>
      <c r="N24" s="135"/>
      <c r="O24" s="134"/>
    </row>
    <row r="25" spans="1:15" ht="14.25" x14ac:dyDescent="0.15">
      <c r="A25" s="265"/>
      <c r="B25" s="129"/>
      <c r="C25" s="129"/>
      <c r="D25" s="129"/>
      <c r="E25" s="62"/>
      <c r="F25" s="62"/>
      <c r="G25" s="129"/>
      <c r="H25" s="130"/>
      <c r="I25" s="129"/>
      <c r="J25" s="129"/>
      <c r="K25" s="130"/>
      <c r="L25" s="132"/>
      <c r="M25" s="132"/>
      <c r="N25" s="135"/>
      <c r="O25" s="134"/>
    </row>
    <row r="26" spans="1:15" ht="14.25" x14ac:dyDescent="0.15">
      <c r="A26" s="265"/>
      <c r="B26" s="132" t="s">
        <v>82</v>
      </c>
      <c r="C26" s="132" t="s">
        <v>83</v>
      </c>
      <c r="D26" s="132"/>
      <c r="E26" s="56"/>
      <c r="F26" s="56"/>
      <c r="G26" s="132"/>
      <c r="H26" s="138">
        <v>0.13</v>
      </c>
      <c r="I26" s="132" t="s">
        <v>82</v>
      </c>
      <c r="J26" s="132" t="s">
        <v>83</v>
      </c>
      <c r="K26" s="138">
        <v>0.13</v>
      </c>
      <c r="L26" s="132"/>
      <c r="M26" s="132"/>
      <c r="N26" s="135"/>
      <c r="O26" s="134"/>
    </row>
    <row r="27" spans="1:15" ht="15" thickBot="1" x14ac:dyDescent="0.2">
      <c r="A27" s="266"/>
      <c r="B27" s="139"/>
      <c r="C27" s="139"/>
      <c r="D27" s="139"/>
      <c r="E27" s="69"/>
      <c r="F27" s="69"/>
      <c r="G27" s="139"/>
      <c r="H27" s="140"/>
      <c r="I27" s="139"/>
      <c r="J27" s="139"/>
      <c r="K27" s="140"/>
      <c r="L27" s="139"/>
      <c r="M27" s="139"/>
      <c r="N27" s="140"/>
      <c r="O27" s="141"/>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row r="57" spans="2:14" ht="14.25" x14ac:dyDescent="0.15">
      <c r="B57" s="105"/>
      <c r="C57" s="105"/>
      <c r="D57" s="105"/>
      <c r="G57" s="105"/>
      <c r="H57" s="142"/>
      <c r="I57" s="105"/>
      <c r="J57" s="105"/>
      <c r="K57" s="142"/>
      <c r="L57" s="105"/>
      <c r="M57" s="105"/>
      <c r="N57" s="142"/>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282" t="s">
        <v>287</v>
      </c>
      <c r="C5" s="282"/>
      <c r="D5" s="3"/>
      <c r="E5" s="6"/>
      <c r="F5" s="2"/>
      <c r="G5" s="2"/>
      <c r="H5" s="2"/>
      <c r="I5" s="3"/>
      <c r="J5" s="2"/>
      <c r="K5" s="7"/>
      <c r="L5" s="7"/>
      <c r="M5" s="7"/>
      <c r="N5" s="9"/>
      <c r="O5" s="2"/>
      <c r="P5" s="14"/>
      <c r="Q5" s="45" t="s">
        <v>6</v>
      </c>
      <c r="R5" s="46"/>
      <c r="S5" s="47"/>
      <c r="T5" s="47"/>
      <c r="U5" s="3"/>
    </row>
    <row r="6" spans="1:21" ht="22.5" customHeight="1" x14ac:dyDescent="0.15">
      <c r="A6" s="5"/>
      <c r="B6" s="282"/>
      <c r="C6" s="28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203</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204</v>
      </c>
      <c r="C10" s="48" t="s">
        <v>77</v>
      </c>
      <c r="D10" s="49"/>
      <c r="E10" s="54">
        <v>10</v>
      </c>
      <c r="F10" s="51" t="s">
        <v>29</v>
      </c>
      <c r="G10" s="84"/>
      <c r="H10" s="88" t="s">
        <v>77</v>
      </c>
      <c r="I10" s="49"/>
      <c r="J10" s="51">
        <f>ROUNDUP(E10*0.75,2)</f>
        <v>7.5</v>
      </c>
      <c r="K10" s="51" t="s">
        <v>29</v>
      </c>
      <c r="L10" s="51"/>
      <c r="M10" s="51">
        <f>ROUNDUP((R5*E10)+(R6*J10)+(R7*(E10*2)),2)</f>
        <v>0</v>
      </c>
      <c r="N10" s="92">
        <f>M10</f>
        <v>0</v>
      </c>
      <c r="O10" s="80" t="s">
        <v>205</v>
      </c>
      <c r="P10" s="52" t="s">
        <v>23</v>
      </c>
      <c r="Q10" s="49"/>
      <c r="R10" s="53">
        <v>110</v>
      </c>
      <c r="S10" s="54">
        <f>ROUNDUP(R10*0.75,2)</f>
        <v>82.5</v>
      </c>
      <c r="T10" s="76">
        <f>ROUNDUP((R5*R10)+(R6*S10)+(R7*(R10*2)),2)</f>
        <v>0</v>
      </c>
    </row>
    <row r="11" spans="1:21" ht="18.75" customHeight="1" x14ac:dyDescent="0.15">
      <c r="A11" s="242"/>
      <c r="B11" s="81"/>
      <c r="C11" s="55" t="s">
        <v>101</v>
      </c>
      <c r="D11" s="56"/>
      <c r="E11" s="57">
        <v>10</v>
      </c>
      <c r="F11" s="58" t="s">
        <v>29</v>
      </c>
      <c r="G11" s="85"/>
      <c r="H11" s="89" t="s">
        <v>101</v>
      </c>
      <c r="I11" s="56"/>
      <c r="J11" s="58">
        <f>ROUNDUP(E11*0.75,2)</f>
        <v>7.5</v>
      </c>
      <c r="K11" s="58" t="s">
        <v>29</v>
      </c>
      <c r="L11" s="58"/>
      <c r="M11" s="58">
        <f>ROUNDUP((R5*E11)+(R6*J11)+(R7*(E11*2)),2)</f>
        <v>0</v>
      </c>
      <c r="N11" s="93">
        <f>ROUND(M11+(M11*2/100),2)</f>
        <v>0</v>
      </c>
      <c r="O11" s="81" t="s">
        <v>206</v>
      </c>
      <c r="P11" s="59" t="s">
        <v>50</v>
      </c>
      <c r="Q11" s="56"/>
      <c r="R11" s="60">
        <v>2</v>
      </c>
      <c r="S11" s="57">
        <f>ROUNDUP(R11*0.75,2)</f>
        <v>1.5</v>
      </c>
      <c r="T11" s="77">
        <f>ROUNDUP((R5*R11)+(R6*S11)+(R7*(R11*2)),2)</f>
        <v>0</v>
      </c>
    </row>
    <row r="12" spans="1:21" ht="18.75" customHeight="1" x14ac:dyDescent="0.15">
      <c r="A12" s="242"/>
      <c r="B12" s="81"/>
      <c r="C12" s="55" t="s">
        <v>102</v>
      </c>
      <c r="D12" s="56"/>
      <c r="E12" s="57">
        <v>5</v>
      </c>
      <c r="F12" s="58" t="s">
        <v>29</v>
      </c>
      <c r="G12" s="85"/>
      <c r="H12" s="89" t="s">
        <v>102</v>
      </c>
      <c r="I12" s="56"/>
      <c r="J12" s="58">
        <f>ROUNDUP(E12*0.75,2)</f>
        <v>3.75</v>
      </c>
      <c r="K12" s="58" t="s">
        <v>29</v>
      </c>
      <c r="L12" s="58"/>
      <c r="M12" s="58">
        <f>ROUNDUP((R5*E12)+(R6*J12)+(R7*(E12*2)),2)</f>
        <v>0</v>
      </c>
      <c r="N12" s="93">
        <f>M12</f>
        <v>0</v>
      </c>
      <c r="O12" s="81" t="s">
        <v>207</v>
      </c>
      <c r="P12" s="59" t="s">
        <v>41</v>
      </c>
      <c r="Q12" s="56"/>
      <c r="R12" s="60">
        <v>0.1</v>
      </c>
      <c r="S12" s="57">
        <f>ROUNDUP(R12*0.75,2)</f>
        <v>0.08</v>
      </c>
      <c r="T12" s="77">
        <f>ROUNDUP((R5*R12)+(R6*S12)+(R7*(R12*2)),2)</f>
        <v>0</v>
      </c>
    </row>
    <row r="13" spans="1:21" ht="18.75" customHeight="1" x14ac:dyDescent="0.15">
      <c r="A13" s="242"/>
      <c r="B13" s="81"/>
      <c r="C13" s="55"/>
      <c r="D13" s="56"/>
      <c r="E13" s="57"/>
      <c r="F13" s="58"/>
      <c r="G13" s="85"/>
      <c r="H13" s="89"/>
      <c r="I13" s="56"/>
      <c r="J13" s="58"/>
      <c r="K13" s="58"/>
      <c r="L13" s="58"/>
      <c r="M13" s="58"/>
      <c r="N13" s="93"/>
      <c r="O13" s="81" t="s">
        <v>208</v>
      </c>
      <c r="P13" s="59" t="s">
        <v>88</v>
      </c>
      <c r="Q13" s="56"/>
      <c r="R13" s="60">
        <v>4</v>
      </c>
      <c r="S13" s="57">
        <f>ROUNDUP(R13*0.75,2)</f>
        <v>3</v>
      </c>
      <c r="T13" s="77">
        <f>ROUNDUP((R5*R13)+(R6*S13)+(R7*(R13*2)),2)</f>
        <v>0</v>
      </c>
    </row>
    <row r="14" spans="1:21" ht="18.75" customHeight="1" x14ac:dyDescent="0.15">
      <c r="A14" s="242"/>
      <c r="B14" s="81"/>
      <c r="C14" s="55"/>
      <c r="D14" s="56"/>
      <c r="E14" s="57"/>
      <c r="F14" s="58"/>
      <c r="G14" s="85"/>
      <c r="H14" s="89"/>
      <c r="I14" s="56"/>
      <c r="J14" s="58"/>
      <c r="K14" s="58"/>
      <c r="L14" s="58"/>
      <c r="M14" s="58"/>
      <c r="N14" s="93"/>
      <c r="O14" s="81" t="s">
        <v>209</v>
      </c>
      <c r="P14" s="59"/>
      <c r="Q14" s="56"/>
      <c r="R14" s="60"/>
      <c r="S14" s="57"/>
      <c r="T14" s="77"/>
    </row>
    <row r="15" spans="1:21" ht="18.75" customHeight="1" x14ac:dyDescent="0.15">
      <c r="A15" s="242"/>
      <c r="B15" s="81"/>
      <c r="C15" s="55"/>
      <c r="D15" s="56"/>
      <c r="E15" s="57"/>
      <c r="F15" s="58"/>
      <c r="G15" s="85"/>
      <c r="H15" s="89"/>
      <c r="I15" s="56"/>
      <c r="J15" s="58"/>
      <c r="K15" s="58"/>
      <c r="L15" s="58"/>
      <c r="M15" s="58"/>
      <c r="N15" s="93"/>
      <c r="O15" s="81" t="s">
        <v>28</v>
      </c>
      <c r="P15" s="59"/>
      <c r="Q15" s="56"/>
      <c r="R15" s="60"/>
      <c r="S15" s="57"/>
      <c r="T15" s="77"/>
    </row>
    <row r="16" spans="1:21" ht="18.75" customHeight="1" x14ac:dyDescent="0.15">
      <c r="A16" s="242"/>
      <c r="B16" s="82"/>
      <c r="C16" s="61"/>
      <c r="D16" s="62"/>
      <c r="E16" s="63"/>
      <c r="F16" s="64"/>
      <c r="G16" s="86"/>
      <c r="H16" s="90"/>
      <c r="I16" s="62"/>
      <c r="J16" s="64"/>
      <c r="K16" s="64"/>
      <c r="L16" s="64"/>
      <c r="M16" s="64"/>
      <c r="N16" s="94"/>
      <c r="O16" s="82"/>
      <c r="P16" s="65"/>
      <c r="Q16" s="62"/>
      <c r="R16" s="66"/>
      <c r="S16" s="63"/>
      <c r="T16" s="78"/>
    </row>
    <row r="17" spans="1:20" ht="18.75" customHeight="1" x14ac:dyDescent="0.15">
      <c r="A17" s="242"/>
      <c r="B17" s="81" t="s">
        <v>210</v>
      </c>
      <c r="C17" s="55" t="s">
        <v>56</v>
      </c>
      <c r="D17" s="56"/>
      <c r="E17" s="57">
        <v>10</v>
      </c>
      <c r="F17" s="58" t="s">
        <v>29</v>
      </c>
      <c r="G17" s="85"/>
      <c r="H17" s="89" t="s">
        <v>56</v>
      </c>
      <c r="I17" s="56"/>
      <c r="J17" s="58">
        <f t="shared" ref="J17:J23" si="0">ROUNDUP(E17*0.75,2)</f>
        <v>7.5</v>
      </c>
      <c r="K17" s="58" t="s">
        <v>29</v>
      </c>
      <c r="L17" s="58"/>
      <c r="M17" s="58">
        <f>ROUNDUP((R5*E17)+(R6*J17)+(R7*(E17*2)),2)</f>
        <v>0</v>
      </c>
      <c r="N17" s="93">
        <f>ROUND(M17+(M17*6/100),2)</f>
        <v>0</v>
      </c>
      <c r="O17" s="81" t="s">
        <v>211</v>
      </c>
      <c r="P17" s="59" t="s">
        <v>54</v>
      </c>
      <c r="Q17" s="56"/>
      <c r="R17" s="60">
        <v>1</v>
      </c>
      <c r="S17" s="57">
        <f t="shared" ref="S17:S26" si="1">ROUNDUP(R17*0.75,2)</f>
        <v>0.75</v>
      </c>
      <c r="T17" s="77">
        <f>ROUNDUP((R5*R17)+(R6*S17)+(R7*(R17*2)),2)</f>
        <v>0</v>
      </c>
    </row>
    <row r="18" spans="1:20" ht="18.75" customHeight="1" x14ac:dyDescent="0.15">
      <c r="A18" s="242"/>
      <c r="B18" s="81"/>
      <c r="C18" s="55" t="s">
        <v>130</v>
      </c>
      <c r="D18" s="56"/>
      <c r="E18" s="57">
        <v>30</v>
      </c>
      <c r="F18" s="58" t="s">
        <v>29</v>
      </c>
      <c r="G18" s="85"/>
      <c r="H18" s="89" t="s">
        <v>130</v>
      </c>
      <c r="I18" s="56"/>
      <c r="J18" s="58">
        <f t="shared" si="0"/>
        <v>22.5</v>
      </c>
      <c r="K18" s="58" t="s">
        <v>29</v>
      </c>
      <c r="L18" s="58"/>
      <c r="M18" s="58">
        <f>ROUNDUP((R5*E18)+(R6*J18)+(R7*(E18*2)),2)</f>
        <v>0</v>
      </c>
      <c r="N18" s="93">
        <f>M18</f>
        <v>0</v>
      </c>
      <c r="O18" s="100" t="s">
        <v>281</v>
      </c>
      <c r="P18" s="59" t="s">
        <v>122</v>
      </c>
      <c r="Q18" s="56" t="s">
        <v>27</v>
      </c>
      <c r="R18" s="60">
        <v>5</v>
      </c>
      <c r="S18" s="57">
        <f t="shared" si="1"/>
        <v>3.75</v>
      </c>
      <c r="T18" s="77">
        <f>ROUNDUP((R5*R18)+(R6*S18)+(R7*(R18*2)),2)</f>
        <v>0</v>
      </c>
    </row>
    <row r="19" spans="1:20" ht="18.75" customHeight="1" x14ac:dyDescent="0.15">
      <c r="A19" s="242"/>
      <c r="B19" s="81"/>
      <c r="C19" s="55" t="s">
        <v>213</v>
      </c>
      <c r="D19" s="56"/>
      <c r="E19" s="97">
        <v>0.1</v>
      </c>
      <c r="F19" s="58" t="s">
        <v>68</v>
      </c>
      <c r="G19" s="85"/>
      <c r="H19" s="89" t="s">
        <v>213</v>
      </c>
      <c r="I19" s="56"/>
      <c r="J19" s="58">
        <f t="shared" si="0"/>
        <v>0.08</v>
      </c>
      <c r="K19" s="58" t="s">
        <v>68</v>
      </c>
      <c r="L19" s="58"/>
      <c r="M19" s="58">
        <f>ROUNDUP((R5*E19)+(R6*J19)+(R7*(E19*2)),2)</f>
        <v>0</v>
      </c>
      <c r="N19" s="93">
        <f>M19</f>
        <v>0</v>
      </c>
      <c r="O19" s="36" t="s">
        <v>282</v>
      </c>
      <c r="P19" s="59" t="s">
        <v>59</v>
      </c>
      <c r="Q19" s="56"/>
      <c r="R19" s="60">
        <v>1</v>
      </c>
      <c r="S19" s="57">
        <f t="shared" si="1"/>
        <v>0.75</v>
      </c>
      <c r="T19" s="77">
        <f>ROUNDUP((R5*R19)+(R6*S19)+(R7*(R19*2)),2)</f>
        <v>0</v>
      </c>
    </row>
    <row r="20" spans="1:20" ht="18.75" customHeight="1" x14ac:dyDescent="0.15">
      <c r="A20" s="242"/>
      <c r="B20" s="81"/>
      <c r="C20" s="55" t="s">
        <v>33</v>
      </c>
      <c r="D20" s="56"/>
      <c r="E20" s="57">
        <v>10</v>
      </c>
      <c r="F20" s="58" t="s">
        <v>29</v>
      </c>
      <c r="G20" s="85"/>
      <c r="H20" s="89" t="s">
        <v>33</v>
      </c>
      <c r="I20" s="56"/>
      <c r="J20" s="58">
        <f t="shared" si="0"/>
        <v>7.5</v>
      </c>
      <c r="K20" s="58" t="s">
        <v>29</v>
      </c>
      <c r="L20" s="58"/>
      <c r="M20" s="58">
        <f>ROUNDUP((R5*E20)+(R6*J20)+(R7*(E20*2)),2)</f>
        <v>0</v>
      </c>
      <c r="N20" s="93">
        <f>ROUND(M20+(M20*10/100),2)</f>
        <v>0</v>
      </c>
      <c r="O20" s="100" t="s">
        <v>283</v>
      </c>
      <c r="P20" s="59" t="s">
        <v>34</v>
      </c>
      <c r="Q20" s="56"/>
      <c r="R20" s="60">
        <v>1.5</v>
      </c>
      <c r="S20" s="57">
        <f t="shared" si="1"/>
        <v>1.1300000000000001</v>
      </c>
      <c r="T20" s="77">
        <f>ROUNDUP((R5*R20)+(R6*S20)+(R7*(R20*2)),2)</f>
        <v>0</v>
      </c>
    </row>
    <row r="21" spans="1:20" ht="18.75" customHeight="1" x14ac:dyDescent="0.15">
      <c r="A21" s="242"/>
      <c r="B21" s="81"/>
      <c r="C21" s="55" t="s">
        <v>163</v>
      </c>
      <c r="D21" s="56"/>
      <c r="E21" s="57">
        <v>5</v>
      </c>
      <c r="F21" s="58" t="s">
        <v>29</v>
      </c>
      <c r="G21" s="85"/>
      <c r="H21" s="89" t="s">
        <v>163</v>
      </c>
      <c r="I21" s="56"/>
      <c r="J21" s="58">
        <f t="shared" si="0"/>
        <v>3.75</v>
      </c>
      <c r="K21" s="58" t="s">
        <v>29</v>
      </c>
      <c r="L21" s="58"/>
      <c r="M21" s="58">
        <f>ROUNDUP((R5*E21)+(R6*J21)+(R7*(E21*2)),2)</f>
        <v>0</v>
      </c>
      <c r="N21" s="93">
        <f>M21</f>
        <v>0</v>
      </c>
      <c r="O21" s="36" t="s">
        <v>284</v>
      </c>
      <c r="P21" s="59" t="s">
        <v>54</v>
      </c>
      <c r="Q21" s="56"/>
      <c r="R21" s="60">
        <v>2</v>
      </c>
      <c r="S21" s="57">
        <f t="shared" si="1"/>
        <v>1.5</v>
      </c>
      <c r="T21" s="77">
        <f>ROUNDUP((R5*R21)+(R6*S21)+(R7*(R21*2)),2)</f>
        <v>0</v>
      </c>
    </row>
    <row r="22" spans="1:20" ht="18.75" customHeight="1" x14ac:dyDescent="0.15">
      <c r="A22" s="242"/>
      <c r="B22" s="81"/>
      <c r="C22" s="55" t="s">
        <v>35</v>
      </c>
      <c r="D22" s="56"/>
      <c r="E22" s="57">
        <v>20</v>
      </c>
      <c r="F22" s="58" t="s">
        <v>29</v>
      </c>
      <c r="G22" s="85"/>
      <c r="H22" s="89" t="s">
        <v>35</v>
      </c>
      <c r="I22" s="56"/>
      <c r="J22" s="58">
        <f t="shared" si="0"/>
        <v>15</v>
      </c>
      <c r="K22" s="58" t="s">
        <v>29</v>
      </c>
      <c r="L22" s="58"/>
      <c r="M22" s="58">
        <f>ROUNDUP((R5*E22)+(R6*J22)+(R7*(E22*2)),2)</f>
        <v>0</v>
      </c>
      <c r="N22" s="93">
        <f>ROUND(M22+(M22*15/100),2)</f>
        <v>0</v>
      </c>
      <c r="O22" s="81" t="s">
        <v>285</v>
      </c>
      <c r="P22" s="59" t="s">
        <v>55</v>
      </c>
      <c r="Q22" s="56"/>
      <c r="R22" s="60">
        <v>10</v>
      </c>
      <c r="S22" s="57">
        <f t="shared" si="1"/>
        <v>7.5</v>
      </c>
      <c r="T22" s="77">
        <f>ROUNDUP((R5*R22)+(R6*S22)+(R7*(R22*2)),2)</f>
        <v>0</v>
      </c>
    </row>
    <row r="23" spans="1:20" ht="18.75" customHeight="1" x14ac:dyDescent="0.15">
      <c r="A23" s="242"/>
      <c r="B23" s="81"/>
      <c r="C23" s="55" t="s">
        <v>87</v>
      </c>
      <c r="D23" s="56"/>
      <c r="E23" s="57">
        <v>10</v>
      </c>
      <c r="F23" s="58" t="s">
        <v>29</v>
      </c>
      <c r="G23" s="85"/>
      <c r="H23" s="89" t="s">
        <v>87</v>
      </c>
      <c r="I23" s="56"/>
      <c r="J23" s="58">
        <f t="shared" si="0"/>
        <v>7.5</v>
      </c>
      <c r="K23" s="58" t="s">
        <v>29</v>
      </c>
      <c r="L23" s="58"/>
      <c r="M23" s="58">
        <f>ROUNDUP((R5*E23)+(R6*J23)+(R7*(E23*2)),2)</f>
        <v>0</v>
      </c>
      <c r="N23" s="93">
        <f>ROUND(M23+(M23*3/100),2)</f>
        <v>0</v>
      </c>
      <c r="O23" s="36" t="s">
        <v>286</v>
      </c>
      <c r="P23" s="59" t="s">
        <v>39</v>
      </c>
      <c r="Q23" s="56" t="s">
        <v>40</v>
      </c>
      <c r="R23" s="60">
        <v>1</v>
      </c>
      <c r="S23" s="57">
        <f t="shared" si="1"/>
        <v>0.75</v>
      </c>
      <c r="T23" s="77">
        <f>ROUNDUP((R5*R23)+(R6*S23)+(R7*(R23*2)),2)</f>
        <v>0</v>
      </c>
    </row>
    <row r="24" spans="1:20" ht="18.75" customHeight="1" x14ac:dyDescent="0.15">
      <c r="A24" s="242"/>
      <c r="B24" s="81"/>
      <c r="C24" s="55"/>
      <c r="D24" s="56"/>
      <c r="E24" s="57"/>
      <c r="F24" s="58"/>
      <c r="G24" s="85"/>
      <c r="H24" s="89"/>
      <c r="I24" s="56"/>
      <c r="J24" s="58"/>
      <c r="K24" s="58"/>
      <c r="L24" s="58"/>
      <c r="M24" s="58"/>
      <c r="N24" s="93"/>
      <c r="O24" s="81" t="s">
        <v>107</v>
      </c>
      <c r="P24" s="59" t="s">
        <v>50</v>
      </c>
      <c r="Q24" s="56"/>
      <c r="R24" s="60">
        <v>1</v>
      </c>
      <c r="S24" s="57">
        <f t="shared" si="1"/>
        <v>0.75</v>
      </c>
      <c r="T24" s="77">
        <f>ROUNDUP((R5*R24)+(R6*S24)+(R7*(R24*2)),2)</f>
        <v>0</v>
      </c>
    </row>
    <row r="25" spans="1:20" ht="18.75" customHeight="1" x14ac:dyDescent="0.15">
      <c r="A25" s="242"/>
      <c r="B25" s="81"/>
      <c r="C25" s="55"/>
      <c r="D25" s="56"/>
      <c r="E25" s="57"/>
      <c r="F25" s="58"/>
      <c r="G25" s="85"/>
      <c r="H25" s="89"/>
      <c r="I25" s="56"/>
      <c r="J25" s="58"/>
      <c r="K25" s="58"/>
      <c r="L25" s="58"/>
      <c r="M25" s="58"/>
      <c r="N25" s="93"/>
      <c r="O25" s="81" t="s">
        <v>212</v>
      </c>
      <c r="P25" s="59" t="s">
        <v>41</v>
      </c>
      <c r="Q25" s="56"/>
      <c r="R25" s="60">
        <v>0.05</v>
      </c>
      <c r="S25" s="57">
        <f t="shared" si="1"/>
        <v>0.04</v>
      </c>
      <c r="T25" s="77">
        <f>ROUNDUP((R5*R25)+(R6*S25)+(R7*(R25*2)),2)</f>
        <v>0</v>
      </c>
    </row>
    <row r="26" spans="1:20" ht="18.75" customHeight="1" x14ac:dyDescent="0.15">
      <c r="A26" s="242"/>
      <c r="B26" s="81"/>
      <c r="C26" s="55"/>
      <c r="D26" s="56"/>
      <c r="E26" s="57"/>
      <c r="F26" s="58"/>
      <c r="G26" s="85"/>
      <c r="H26" s="89"/>
      <c r="I26" s="56"/>
      <c r="J26" s="58"/>
      <c r="K26" s="58"/>
      <c r="L26" s="58"/>
      <c r="M26" s="58"/>
      <c r="N26" s="93"/>
      <c r="O26" s="81" t="s">
        <v>28</v>
      </c>
      <c r="P26" s="59" t="s">
        <v>57</v>
      </c>
      <c r="Q26" s="56"/>
      <c r="R26" s="60">
        <v>3</v>
      </c>
      <c r="S26" s="57">
        <f t="shared" si="1"/>
        <v>2.25</v>
      </c>
      <c r="T26" s="77">
        <f>ROUNDUP((R5*R26)+(R6*S26)+(R7*(R26*2)),2)</f>
        <v>0</v>
      </c>
    </row>
    <row r="27" spans="1:20" ht="18.75" customHeight="1" x14ac:dyDescent="0.15">
      <c r="A27" s="242"/>
      <c r="B27" s="82"/>
      <c r="C27" s="61"/>
      <c r="D27" s="62"/>
      <c r="E27" s="63"/>
      <c r="F27" s="64"/>
      <c r="G27" s="86"/>
      <c r="H27" s="90"/>
      <c r="I27" s="62"/>
      <c r="J27" s="64"/>
      <c r="K27" s="64"/>
      <c r="L27" s="64"/>
      <c r="M27" s="64"/>
      <c r="N27" s="94"/>
      <c r="O27" s="82"/>
      <c r="P27" s="65"/>
      <c r="Q27" s="62"/>
      <c r="R27" s="66"/>
      <c r="S27" s="63"/>
      <c r="T27" s="78"/>
    </row>
    <row r="28" spans="1:20" ht="18.75" customHeight="1" x14ac:dyDescent="0.15">
      <c r="A28" s="242"/>
      <c r="B28" s="81" t="s">
        <v>43</v>
      </c>
      <c r="C28" s="55" t="s">
        <v>32</v>
      </c>
      <c r="D28" s="56"/>
      <c r="E28" s="57">
        <v>20</v>
      </c>
      <c r="F28" s="58" t="s">
        <v>29</v>
      </c>
      <c r="G28" s="85"/>
      <c r="H28" s="89" t="s">
        <v>32</v>
      </c>
      <c r="I28" s="56"/>
      <c r="J28" s="58">
        <f>ROUNDUP(E28*0.75,2)</f>
        <v>15</v>
      </c>
      <c r="K28" s="58" t="s">
        <v>29</v>
      </c>
      <c r="L28" s="58"/>
      <c r="M28" s="58">
        <f>ROUNDUP((R5*E28)+(R6*J28)+(R7*(E28*2)),2)</f>
        <v>0</v>
      </c>
      <c r="N28" s="93">
        <f>ROUND(M28+(M28*15/100),2)</f>
        <v>0</v>
      </c>
      <c r="O28" s="81" t="s">
        <v>28</v>
      </c>
      <c r="P28" s="59" t="s">
        <v>25</v>
      </c>
      <c r="Q28" s="56"/>
      <c r="R28" s="60">
        <v>100</v>
      </c>
      <c r="S28" s="57">
        <f>ROUNDUP(R28*0.75,2)</f>
        <v>75</v>
      </c>
      <c r="T28" s="77">
        <f>ROUNDUP((R5*R28)+(R6*S28)+(R7*(R28*2)),2)</f>
        <v>0</v>
      </c>
    </row>
    <row r="29" spans="1:20" ht="18.75" customHeight="1" x14ac:dyDescent="0.15">
      <c r="A29" s="242"/>
      <c r="B29" s="81"/>
      <c r="C29" s="55" t="s">
        <v>36</v>
      </c>
      <c r="D29" s="56" t="s">
        <v>37</v>
      </c>
      <c r="E29" s="75">
        <v>0.125</v>
      </c>
      <c r="F29" s="58" t="s">
        <v>38</v>
      </c>
      <c r="G29" s="85"/>
      <c r="H29" s="89" t="s">
        <v>36</v>
      </c>
      <c r="I29" s="56" t="s">
        <v>37</v>
      </c>
      <c r="J29" s="58">
        <f>ROUNDUP(E29*0.75,2)</f>
        <v>9.9999999999999992E-2</v>
      </c>
      <c r="K29" s="58" t="s">
        <v>38</v>
      </c>
      <c r="L29" s="58"/>
      <c r="M29" s="58">
        <f>ROUNDUP((R5*E29)+(R6*J29)+(R7*(E29*2)),2)</f>
        <v>0</v>
      </c>
      <c r="N29" s="93">
        <f>M29</f>
        <v>0</v>
      </c>
      <c r="O29" s="81"/>
      <c r="P29" s="59" t="s">
        <v>41</v>
      </c>
      <c r="Q29" s="56"/>
      <c r="R29" s="60">
        <v>0.1</v>
      </c>
      <c r="S29" s="57">
        <f>ROUNDUP(R29*0.75,2)</f>
        <v>0.08</v>
      </c>
      <c r="T29" s="77">
        <f>ROUNDUP((R5*R29)+(R6*S29)+(R7*(R29*2)),2)</f>
        <v>0</v>
      </c>
    </row>
    <row r="30" spans="1:20" ht="18.75" customHeight="1" x14ac:dyDescent="0.15">
      <c r="A30" s="242"/>
      <c r="B30" s="81"/>
      <c r="C30" s="55"/>
      <c r="D30" s="56"/>
      <c r="E30" s="57"/>
      <c r="F30" s="58"/>
      <c r="G30" s="85"/>
      <c r="H30" s="89"/>
      <c r="I30" s="56"/>
      <c r="J30" s="58"/>
      <c r="K30" s="58"/>
      <c r="L30" s="58"/>
      <c r="M30" s="58"/>
      <c r="N30" s="93"/>
      <c r="O30" s="81"/>
      <c r="P30" s="59" t="s">
        <v>26</v>
      </c>
      <c r="Q30" s="56" t="s">
        <v>27</v>
      </c>
      <c r="R30" s="60">
        <v>0.5</v>
      </c>
      <c r="S30" s="57">
        <f>ROUNDUP(R30*0.75,2)</f>
        <v>0.38</v>
      </c>
      <c r="T30" s="77">
        <f>ROUNDUP((R5*R30)+(R6*S30)+(R7*(R30*2)),2)</f>
        <v>0</v>
      </c>
    </row>
    <row r="31" spans="1:20" ht="18.75" customHeight="1" x14ac:dyDescent="0.15">
      <c r="A31" s="242"/>
      <c r="B31" s="82"/>
      <c r="C31" s="61"/>
      <c r="D31" s="62"/>
      <c r="E31" s="63"/>
      <c r="F31" s="64"/>
      <c r="G31" s="86"/>
      <c r="H31" s="90"/>
      <c r="I31" s="62"/>
      <c r="J31" s="64"/>
      <c r="K31" s="64"/>
      <c r="L31" s="64"/>
      <c r="M31" s="64"/>
      <c r="N31" s="94"/>
      <c r="O31" s="82"/>
      <c r="P31" s="65"/>
      <c r="Q31" s="62"/>
      <c r="R31" s="66"/>
      <c r="S31" s="63"/>
      <c r="T31" s="78"/>
    </row>
    <row r="32" spans="1:20" ht="18.75" customHeight="1" x14ac:dyDescent="0.15">
      <c r="A32" s="242"/>
      <c r="B32" s="81" t="s">
        <v>103</v>
      </c>
      <c r="C32" s="55" t="s">
        <v>104</v>
      </c>
      <c r="D32" s="56"/>
      <c r="E32" s="98">
        <v>0.16666666666666666</v>
      </c>
      <c r="F32" s="58" t="s">
        <v>38</v>
      </c>
      <c r="G32" s="85"/>
      <c r="H32" s="89" t="s">
        <v>104</v>
      </c>
      <c r="I32" s="56"/>
      <c r="J32" s="58">
        <f>ROUNDUP(E32*0.75,2)</f>
        <v>0.13</v>
      </c>
      <c r="K32" s="58" t="s">
        <v>38</v>
      </c>
      <c r="L32" s="58"/>
      <c r="M32" s="58">
        <f>ROUNDUP((R5*E32)+(R6*J32)+(R7*(E32*2)),2)</f>
        <v>0</v>
      </c>
      <c r="N32" s="93">
        <f>M32</f>
        <v>0</v>
      </c>
      <c r="O32" s="81" t="s">
        <v>61</v>
      </c>
      <c r="P32" s="59"/>
      <c r="Q32" s="56"/>
      <c r="R32" s="60"/>
      <c r="S32" s="57"/>
      <c r="T32" s="77"/>
    </row>
    <row r="33" spans="1:20" ht="18.75" customHeight="1" thickBot="1" x14ac:dyDescent="0.2">
      <c r="A33" s="243"/>
      <c r="B33" s="83"/>
      <c r="C33" s="68"/>
      <c r="D33" s="69"/>
      <c r="E33" s="70"/>
      <c r="F33" s="71"/>
      <c r="G33" s="87"/>
      <c r="H33" s="91"/>
      <c r="I33" s="69"/>
      <c r="J33" s="71"/>
      <c r="K33" s="71"/>
      <c r="L33" s="71"/>
      <c r="M33" s="71"/>
      <c r="N33" s="95"/>
      <c r="O33" s="83"/>
      <c r="P33" s="72"/>
      <c r="Q33" s="69"/>
      <c r="R33" s="73"/>
      <c r="S33" s="70"/>
      <c r="T33" s="79"/>
    </row>
    <row r="34" spans="1:20" ht="18.75" customHeight="1" x14ac:dyDescent="0.15">
      <c r="Q34" s="283" t="s">
        <v>288</v>
      </c>
      <c r="R34" s="283"/>
      <c r="S34" s="283"/>
      <c r="T34" s="283"/>
    </row>
  </sheetData>
  <mergeCells count="7">
    <mergeCell ref="B5:C6"/>
    <mergeCell ref="Q34:T34"/>
    <mergeCell ref="H1:O1"/>
    <mergeCell ref="A2:T2"/>
    <mergeCell ref="Q3:T3"/>
    <mergeCell ref="A8:F8"/>
    <mergeCell ref="A10:A33"/>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view="pageBreakPreview" zoomScale="40" zoomScaleNormal="60" zoomScaleSheetLayoutView="40" workbookViewId="0"/>
  </sheetViews>
  <sheetFormatPr defaultRowHeight="13.5" x14ac:dyDescent="0.15"/>
  <cols>
    <col min="1" max="1" width="4.5" style="150" bestFit="1" customWidth="1"/>
    <col min="2" max="2" width="3.375" style="149" bestFit="1" customWidth="1"/>
    <col min="3" max="8" width="17.625" style="149" customWidth="1"/>
    <col min="9" max="9" width="4.5" style="150" bestFit="1" customWidth="1"/>
    <col min="10" max="10" width="3.375" style="149" bestFit="1" customWidth="1"/>
    <col min="11" max="16" width="17.625" style="149" customWidth="1"/>
    <col min="17" max="16384" width="9" style="149"/>
  </cols>
  <sheetData>
    <row r="1" spans="1:16" ht="65.25" customHeight="1" thickBot="1" x14ac:dyDescent="0.2">
      <c r="A1" s="148"/>
      <c r="I1" s="148"/>
    </row>
    <row r="2" spans="1:16" s="150" customFormat="1" ht="21.75" customHeight="1" x14ac:dyDescent="0.15">
      <c r="A2" s="220" t="s">
        <v>330</v>
      </c>
      <c r="B2" s="204" t="s">
        <v>437</v>
      </c>
      <c r="C2" s="222" t="s">
        <v>438</v>
      </c>
      <c r="D2" s="223"/>
      <c r="E2" s="206" t="s">
        <v>439</v>
      </c>
      <c r="F2" s="207"/>
      <c r="G2" s="206" t="s">
        <v>440</v>
      </c>
      <c r="H2" s="207"/>
      <c r="I2" s="232" t="s">
        <v>330</v>
      </c>
      <c r="J2" s="204" t="s">
        <v>437</v>
      </c>
      <c r="K2" s="206" t="s">
        <v>438</v>
      </c>
      <c r="L2" s="207"/>
      <c r="M2" s="206" t="s">
        <v>439</v>
      </c>
      <c r="N2" s="207"/>
      <c r="O2" s="212" t="s">
        <v>440</v>
      </c>
      <c r="P2" s="213"/>
    </row>
    <row r="3" spans="1:16" s="150" customFormat="1" ht="13.5" customHeight="1" x14ac:dyDescent="0.15">
      <c r="A3" s="221"/>
      <c r="B3" s="205"/>
      <c r="C3" s="224"/>
      <c r="D3" s="225"/>
      <c r="E3" s="228"/>
      <c r="F3" s="229"/>
      <c r="G3" s="228"/>
      <c r="H3" s="229"/>
      <c r="I3" s="233"/>
      <c r="J3" s="205"/>
      <c r="K3" s="208"/>
      <c r="L3" s="209"/>
      <c r="M3" s="208"/>
      <c r="N3" s="209"/>
      <c r="O3" s="214"/>
      <c r="P3" s="215"/>
    </row>
    <row r="4" spans="1:16" s="150" customFormat="1" ht="18.75" customHeight="1" x14ac:dyDescent="0.15">
      <c r="A4" s="221"/>
      <c r="B4" s="205"/>
      <c r="C4" s="226"/>
      <c r="D4" s="227"/>
      <c r="E4" s="230"/>
      <c r="F4" s="231"/>
      <c r="G4" s="230"/>
      <c r="H4" s="231"/>
      <c r="I4" s="233"/>
      <c r="J4" s="205"/>
      <c r="K4" s="210"/>
      <c r="L4" s="211"/>
      <c r="M4" s="210"/>
      <c r="N4" s="211"/>
      <c r="O4" s="216"/>
      <c r="P4" s="217"/>
    </row>
    <row r="5" spans="1:16" s="150" customFormat="1" ht="15.75" customHeight="1" x14ac:dyDescent="0.15">
      <c r="A5" s="221"/>
      <c r="B5" s="205"/>
      <c r="C5" s="151" t="s">
        <v>322</v>
      </c>
      <c r="D5" s="151" t="s">
        <v>441</v>
      </c>
      <c r="E5" s="151" t="s">
        <v>322</v>
      </c>
      <c r="F5" s="151" t="s">
        <v>441</v>
      </c>
      <c r="G5" s="151" t="s">
        <v>322</v>
      </c>
      <c r="H5" s="151" t="s">
        <v>441</v>
      </c>
      <c r="I5" s="233"/>
      <c r="J5" s="205"/>
      <c r="K5" s="151" t="s">
        <v>322</v>
      </c>
      <c r="L5" s="151" t="s">
        <v>441</v>
      </c>
      <c r="M5" s="151" t="s">
        <v>322</v>
      </c>
      <c r="N5" s="151" t="s">
        <v>441</v>
      </c>
      <c r="O5" s="152" t="s">
        <v>322</v>
      </c>
      <c r="P5" s="153" t="s">
        <v>441</v>
      </c>
    </row>
    <row r="6" spans="1:16" s="155" customFormat="1" ht="13.5" customHeight="1" x14ac:dyDescent="0.15">
      <c r="A6" s="196">
        <v>2</v>
      </c>
      <c r="B6" s="160" t="s">
        <v>442</v>
      </c>
      <c r="C6" s="154" t="s">
        <v>345</v>
      </c>
      <c r="D6" s="182" t="s">
        <v>443</v>
      </c>
      <c r="E6" s="154" t="s">
        <v>345</v>
      </c>
      <c r="F6" s="182" t="s">
        <v>444</v>
      </c>
      <c r="G6" s="154" t="s">
        <v>349</v>
      </c>
      <c r="H6" s="185" t="s">
        <v>445</v>
      </c>
      <c r="I6" s="194">
        <v>16</v>
      </c>
      <c r="J6" s="180" t="s">
        <v>442</v>
      </c>
      <c r="K6" s="154" t="s">
        <v>345</v>
      </c>
      <c r="L6" s="163" t="s">
        <v>443</v>
      </c>
      <c r="M6" s="154" t="s">
        <v>345</v>
      </c>
      <c r="N6" s="163" t="s">
        <v>444</v>
      </c>
      <c r="O6" s="154" t="s">
        <v>349</v>
      </c>
      <c r="P6" s="166" t="s">
        <v>445</v>
      </c>
    </row>
    <row r="7" spans="1:16" s="157" customFormat="1" x14ac:dyDescent="0.15">
      <c r="A7" s="218"/>
      <c r="B7" s="161"/>
      <c r="C7" s="156" t="s">
        <v>350</v>
      </c>
      <c r="D7" s="183"/>
      <c r="E7" s="156" t="s">
        <v>351</v>
      </c>
      <c r="F7" s="183"/>
      <c r="G7" s="156" t="s">
        <v>352</v>
      </c>
      <c r="H7" s="186"/>
      <c r="I7" s="189"/>
      <c r="J7" s="161"/>
      <c r="K7" s="156" t="s">
        <v>350</v>
      </c>
      <c r="L7" s="164"/>
      <c r="M7" s="156" t="s">
        <v>351</v>
      </c>
      <c r="N7" s="164"/>
      <c r="O7" s="156" t="s">
        <v>352</v>
      </c>
      <c r="P7" s="167"/>
    </row>
    <row r="8" spans="1:16" s="157" customFormat="1" x14ac:dyDescent="0.15">
      <c r="A8" s="218"/>
      <c r="B8" s="161"/>
      <c r="C8" s="156" t="s">
        <v>357</v>
      </c>
      <c r="D8" s="183"/>
      <c r="E8" s="156" t="s">
        <v>357</v>
      </c>
      <c r="F8" s="183"/>
      <c r="G8" s="156" t="s">
        <v>355</v>
      </c>
      <c r="H8" s="186"/>
      <c r="I8" s="189"/>
      <c r="J8" s="161"/>
      <c r="K8" s="156" t="s">
        <v>357</v>
      </c>
      <c r="L8" s="164"/>
      <c r="M8" s="156" t="s">
        <v>357</v>
      </c>
      <c r="N8" s="164"/>
      <c r="O8" s="156" t="s">
        <v>355</v>
      </c>
      <c r="P8" s="167"/>
    </row>
    <row r="9" spans="1:16" s="157" customFormat="1" x14ac:dyDescent="0.15">
      <c r="A9" s="219"/>
      <c r="B9" s="175"/>
      <c r="C9" s="158" t="s">
        <v>446</v>
      </c>
      <c r="D9" s="184"/>
      <c r="E9" s="158" t="s">
        <v>446</v>
      </c>
      <c r="F9" s="184"/>
      <c r="G9" s="158" t="s">
        <v>82</v>
      </c>
      <c r="H9" s="187"/>
      <c r="I9" s="195"/>
      <c r="J9" s="181"/>
      <c r="K9" s="158" t="s">
        <v>447</v>
      </c>
      <c r="L9" s="176"/>
      <c r="M9" s="158" t="s">
        <v>447</v>
      </c>
      <c r="N9" s="176"/>
      <c r="O9" s="158" t="s">
        <v>82</v>
      </c>
      <c r="P9" s="177"/>
    </row>
    <row r="10" spans="1:16" s="157" customFormat="1" ht="13.5" customHeight="1" x14ac:dyDescent="0.15">
      <c r="A10" s="169"/>
      <c r="B10" s="170"/>
      <c r="C10" s="170"/>
      <c r="D10" s="170"/>
      <c r="E10" s="170"/>
      <c r="F10" s="170"/>
      <c r="G10" s="170"/>
      <c r="H10" s="171"/>
      <c r="I10" s="188">
        <v>17</v>
      </c>
      <c r="J10" s="160" t="s">
        <v>448</v>
      </c>
      <c r="K10" s="156" t="s">
        <v>345</v>
      </c>
      <c r="L10" s="163" t="s">
        <v>449</v>
      </c>
      <c r="M10" s="156" t="s">
        <v>345</v>
      </c>
      <c r="N10" s="163" t="s">
        <v>450</v>
      </c>
      <c r="O10" s="156" t="s">
        <v>349</v>
      </c>
      <c r="P10" s="166" t="s">
        <v>451</v>
      </c>
    </row>
    <row r="11" spans="1:16" s="157" customFormat="1" x14ac:dyDescent="0.15">
      <c r="A11" s="202"/>
      <c r="B11" s="200"/>
      <c r="C11" s="200"/>
      <c r="D11" s="200"/>
      <c r="E11" s="200"/>
      <c r="F11" s="200"/>
      <c r="G11" s="200"/>
      <c r="H11" s="203"/>
      <c r="I11" s="189"/>
      <c r="J11" s="161"/>
      <c r="K11" s="156" t="s">
        <v>416</v>
      </c>
      <c r="L11" s="164"/>
      <c r="M11" s="156" t="s">
        <v>386</v>
      </c>
      <c r="N11" s="164"/>
      <c r="O11" s="156" t="s">
        <v>417</v>
      </c>
      <c r="P11" s="167"/>
    </row>
    <row r="12" spans="1:16" s="157" customFormat="1" x14ac:dyDescent="0.15">
      <c r="A12" s="196">
        <v>4</v>
      </c>
      <c r="B12" s="160" t="s">
        <v>55</v>
      </c>
      <c r="C12" s="154" t="s">
        <v>345</v>
      </c>
      <c r="D12" s="182" t="s">
        <v>452</v>
      </c>
      <c r="E12" s="154" t="s">
        <v>345</v>
      </c>
      <c r="F12" s="182" t="s">
        <v>452</v>
      </c>
      <c r="G12" s="154" t="s">
        <v>349</v>
      </c>
      <c r="H12" s="185" t="s">
        <v>453</v>
      </c>
      <c r="I12" s="189"/>
      <c r="J12" s="161"/>
      <c r="K12" s="156" t="s">
        <v>418</v>
      </c>
      <c r="L12" s="164"/>
      <c r="M12" s="156" t="s">
        <v>418</v>
      </c>
      <c r="N12" s="164"/>
      <c r="O12" s="156" t="s">
        <v>371</v>
      </c>
      <c r="P12" s="167"/>
    </row>
    <row r="13" spans="1:16" s="157" customFormat="1" x14ac:dyDescent="0.15">
      <c r="A13" s="179"/>
      <c r="B13" s="161"/>
      <c r="C13" s="156" t="s">
        <v>362</v>
      </c>
      <c r="D13" s="183"/>
      <c r="E13" s="156" t="s">
        <v>362</v>
      </c>
      <c r="F13" s="183"/>
      <c r="G13" s="156" t="s">
        <v>363</v>
      </c>
      <c r="H13" s="186"/>
      <c r="I13" s="193"/>
      <c r="J13" s="175"/>
      <c r="K13" s="156" t="s">
        <v>103</v>
      </c>
      <c r="L13" s="176"/>
      <c r="M13" s="156" t="s">
        <v>103</v>
      </c>
      <c r="N13" s="176"/>
      <c r="O13" s="156"/>
      <c r="P13" s="177"/>
    </row>
    <row r="14" spans="1:16" s="157" customFormat="1" ht="13.5" customHeight="1" x14ac:dyDescent="0.15">
      <c r="A14" s="179"/>
      <c r="B14" s="161"/>
      <c r="C14" s="156" t="s">
        <v>365</v>
      </c>
      <c r="D14" s="183"/>
      <c r="E14" s="156" t="s">
        <v>365</v>
      </c>
      <c r="F14" s="183"/>
      <c r="G14" s="156" t="s">
        <v>364</v>
      </c>
      <c r="H14" s="186"/>
      <c r="I14" s="194">
        <v>18</v>
      </c>
      <c r="J14" s="180" t="s">
        <v>55</v>
      </c>
      <c r="K14" s="154" t="s">
        <v>345</v>
      </c>
      <c r="L14" s="163" t="s">
        <v>452</v>
      </c>
      <c r="M14" s="154" t="s">
        <v>345</v>
      </c>
      <c r="N14" s="163" t="s">
        <v>452</v>
      </c>
      <c r="O14" s="154" t="s">
        <v>349</v>
      </c>
      <c r="P14" s="166" t="s">
        <v>453</v>
      </c>
    </row>
    <row r="15" spans="1:16" s="157" customFormat="1" x14ac:dyDescent="0.15">
      <c r="A15" s="192"/>
      <c r="B15" s="175"/>
      <c r="C15" s="158" t="s">
        <v>454</v>
      </c>
      <c r="D15" s="184"/>
      <c r="E15" s="158" t="s">
        <v>454</v>
      </c>
      <c r="F15" s="184"/>
      <c r="G15" s="158" t="s">
        <v>389</v>
      </c>
      <c r="H15" s="187"/>
      <c r="I15" s="189"/>
      <c r="J15" s="161"/>
      <c r="K15" s="156" t="s">
        <v>362</v>
      </c>
      <c r="L15" s="164"/>
      <c r="M15" s="156" t="s">
        <v>362</v>
      </c>
      <c r="N15" s="164"/>
      <c r="O15" s="156" t="s">
        <v>363</v>
      </c>
      <c r="P15" s="167"/>
    </row>
    <row r="16" spans="1:16" s="157" customFormat="1" x14ac:dyDescent="0.15">
      <c r="A16" s="179">
        <v>5</v>
      </c>
      <c r="B16" s="180" t="s">
        <v>455</v>
      </c>
      <c r="C16" s="156" t="s">
        <v>345</v>
      </c>
      <c r="D16" s="182" t="s">
        <v>456</v>
      </c>
      <c r="E16" s="156" t="s">
        <v>345</v>
      </c>
      <c r="F16" s="182" t="s">
        <v>457</v>
      </c>
      <c r="G16" s="156" t="s">
        <v>349</v>
      </c>
      <c r="H16" s="185" t="s">
        <v>458</v>
      </c>
      <c r="I16" s="189"/>
      <c r="J16" s="161"/>
      <c r="K16" s="156" t="s">
        <v>365</v>
      </c>
      <c r="L16" s="164"/>
      <c r="M16" s="156" t="s">
        <v>365</v>
      </c>
      <c r="N16" s="164"/>
      <c r="O16" s="156" t="s">
        <v>364</v>
      </c>
      <c r="P16" s="167"/>
    </row>
    <row r="17" spans="1:16" s="157" customFormat="1" x14ac:dyDescent="0.15">
      <c r="A17" s="179"/>
      <c r="B17" s="161"/>
      <c r="C17" s="156" t="s">
        <v>368</v>
      </c>
      <c r="D17" s="183"/>
      <c r="E17" s="156" t="s">
        <v>369</v>
      </c>
      <c r="F17" s="183"/>
      <c r="G17" s="156" t="s">
        <v>371</v>
      </c>
      <c r="H17" s="186"/>
      <c r="I17" s="195"/>
      <c r="J17" s="181"/>
      <c r="K17" s="158" t="s">
        <v>454</v>
      </c>
      <c r="L17" s="176"/>
      <c r="M17" s="158" t="s">
        <v>454</v>
      </c>
      <c r="N17" s="176"/>
      <c r="O17" s="158" t="s">
        <v>389</v>
      </c>
      <c r="P17" s="177"/>
    </row>
    <row r="18" spans="1:16" s="157" customFormat="1" ht="13.5" customHeight="1" x14ac:dyDescent="0.15">
      <c r="A18" s="179"/>
      <c r="B18" s="161"/>
      <c r="C18" s="156" t="s">
        <v>374</v>
      </c>
      <c r="D18" s="183"/>
      <c r="E18" s="156" t="s">
        <v>374</v>
      </c>
      <c r="F18" s="183"/>
      <c r="G18" s="156" t="s">
        <v>372</v>
      </c>
      <c r="H18" s="186"/>
      <c r="I18" s="188">
        <v>19</v>
      </c>
      <c r="J18" s="160" t="s">
        <v>455</v>
      </c>
      <c r="K18" s="156" t="s">
        <v>345</v>
      </c>
      <c r="L18" s="163" t="s">
        <v>456</v>
      </c>
      <c r="M18" s="156" t="s">
        <v>345</v>
      </c>
      <c r="N18" s="163" t="s">
        <v>457</v>
      </c>
      <c r="O18" s="156" t="s">
        <v>349</v>
      </c>
      <c r="P18" s="166" t="s">
        <v>458</v>
      </c>
    </row>
    <row r="19" spans="1:16" s="157" customFormat="1" x14ac:dyDescent="0.15">
      <c r="A19" s="179"/>
      <c r="B19" s="181"/>
      <c r="C19" s="156" t="s">
        <v>127</v>
      </c>
      <c r="D19" s="184"/>
      <c r="E19" s="156" t="s">
        <v>127</v>
      </c>
      <c r="F19" s="184"/>
      <c r="G19" s="156" t="s">
        <v>373</v>
      </c>
      <c r="H19" s="187"/>
      <c r="I19" s="189"/>
      <c r="J19" s="161"/>
      <c r="K19" s="156" t="s">
        <v>368</v>
      </c>
      <c r="L19" s="164"/>
      <c r="M19" s="156" t="s">
        <v>369</v>
      </c>
      <c r="N19" s="164"/>
      <c r="O19" s="156" t="s">
        <v>371</v>
      </c>
      <c r="P19" s="167"/>
    </row>
    <row r="20" spans="1:16" s="157" customFormat="1" x14ac:dyDescent="0.15">
      <c r="A20" s="196">
        <v>6</v>
      </c>
      <c r="B20" s="160" t="s">
        <v>459</v>
      </c>
      <c r="C20" s="154" t="s">
        <v>345</v>
      </c>
      <c r="D20" s="182" t="s">
        <v>460</v>
      </c>
      <c r="E20" s="154" t="s">
        <v>345</v>
      </c>
      <c r="F20" s="182" t="s">
        <v>461</v>
      </c>
      <c r="G20" s="154" t="s">
        <v>349</v>
      </c>
      <c r="H20" s="185" t="s">
        <v>462</v>
      </c>
      <c r="I20" s="189"/>
      <c r="J20" s="161"/>
      <c r="K20" s="156" t="s">
        <v>374</v>
      </c>
      <c r="L20" s="164"/>
      <c r="M20" s="156" t="s">
        <v>374</v>
      </c>
      <c r="N20" s="164"/>
      <c r="O20" s="156" t="s">
        <v>372</v>
      </c>
      <c r="P20" s="167"/>
    </row>
    <row r="21" spans="1:16" s="157" customFormat="1" x14ac:dyDescent="0.15">
      <c r="A21" s="179"/>
      <c r="B21" s="161"/>
      <c r="C21" s="156" t="s">
        <v>377</v>
      </c>
      <c r="D21" s="183"/>
      <c r="E21" s="156" t="s">
        <v>377</v>
      </c>
      <c r="F21" s="183"/>
      <c r="G21" s="156" t="s">
        <v>378</v>
      </c>
      <c r="H21" s="186"/>
      <c r="I21" s="193"/>
      <c r="J21" s="175"/>
      <c r="K21" s="156" t="s">
        <v>127</v>
      </c>
      <c r="L21" s="176"/>
      <c r="M21" s="156" t="s">
        <v>127</v>
      </c>
      <c r="N21" s="176"/>
      <c r="O21" s="156" t="s">
        <v>373</v>
      </c>
      <c r="P21" s="177"/>
    </row>
    <row r="22" spans="1:16" s="157" customFormat="1" ht="13.5" customHeight="1" x14ac:dyDescent="0.15">
      <c r="A22" s="179"/>
      <c r="B22" s="161"/>
      <c r="C22" s="156" t="s">
        <v>153</v>
      </c>
      <c r="D22" s="183"/>
      <c r="E22" s="156" t="s">
        <v>380</v>
      </c>
      <c r="F22" s="183"/>
      <c r="G22" s="156" t="s">
        <v>379</v>
      </c>
      <c r="H22" s="186"/>
      <c r="I22" s="194">
        <v>20</v>
      </c>
      <c r="J22" s="180" t="s">
        <v>459</v>
      </c>
      <c r="K22" s="154" t="s">
        <v>345</v>
      </c>
      <c r="L22" s="163" t="s">
        <v>463</v>
      </c>
      <c r="M22" s="154" t="s">
        <v>345</v>
      </c>
      <c r="N22" s="163" t="s">
        <v>464</v>
      </c>
      <c r="O22" s="154" t="s">
        <v>349</v>
      </c>
      <c r="P22" s="166" t="s">
        <v>465</v>
      </c>
    </row>
    <row r="23" spans="1:16" s="157" customFormat="1" x14ac:dyDescent="0.15">
      <c r="A23" s="192"/>
      <c r="B23" s="175"/>
      <c r="C23" s="158" t="s">
        <v>466</v>
      </c>
      <c r="D23" s="184"/>
      <c r="E23" s="158" t="s">
        <v>466</v>
      </c>
      <c r="F23" s="184"/>
      <c r="G23" s="158" t="s">
        <v>381</v>
      </c>
      <c r="H23" s="187"/>
      <c r="I23" s="189"/>
      <c r="J23" s="161"/>
      <c r="K23" s="156" t="s">
        <v>377</v>
      </c>
      <c r="L23" s="164"/>
      <c r="M23" s="156" t="s">
        <v>377</v>
      </c>
      <c r="N23" s="164"/>
      <c r="O23" s="156" t="s">
        <v>378</v>
      </c>
      <c r="P23" s="167"/>
    </row>
    <row r="24" spans="1:16" s="157" customFormat="1" x14ac:dyDescent="0.15">
      <c r="A24" s="169"/>
      <c r="B24" s="170"/>
      <c r="C24" s="170"/>
      <c r="D24" s="170"/>
      <c r="E24" s="170"/>
      <c r="F24" s="170"/>
      <c r="G24" s="170"/>
      <c r="H24" s="171"/>
      <c r="I24" s="189"/>
      <c r="J24" s="161"/>
      <c r="K24" s="156" t="s">
        <v>220</v>
      </c>
      <c r="L24" s="164"/>
      <c r="M24" s="156" t="s">
        <v>380</v>
      </c>
      <c r="N24" s="164"/>
      <c r="O24" s="156" t="s">
        <v>379</v>
      </c>
      <c r="P24" s="167"/>
    </row>
    <row r="25" spans="1:16" s="157" customFormat="1" x14ac:dyDescent="0.15">
      <c r="A25" s="202"/>
      <c r="B25" s="200"/>
      <c r="C25" s="200"/>
      <c r="D25" s="200"/>
      <c r="E25" s="200"/>
      <c r="F25" s="200"/>
      <c r="G25" s="200"/>
      <c r="H25" s="203"/>
      <c r="I25" s="195"/>
      <c r="J25" s="181"/>
      <c r="K25" s="158" t="s">
        <v>446</v>
      </c>
      <c r="L25" s="176"/>
      <c r="M25" s="158" t="s">
        <v>446</v>
      </c>
      <c r="N25" s="176"/>
      <c r="O25" s="158" t="s">
        <v>82</v>
      </c>
      <c r="P25" s="177"/>
    </row>
    <row r="26" spans="1:16" s="157" customFormat="1" ht="13.5" customHeight="1" x14ac:dyDescent="0.15">
      <c r="A26" s="179">
        <v>9</v>
      </c>
      <c r="B26" s="180" t="s">
        <v>442</v>
      </c>
      <c r="C26" s="156" t="s">
        <v>383</v>
      </c>
      <c r="D26" s="182" t="s">
        <v>467</v>
      </c>
      <c r="E26" s="156" t="s">
        <v>383</v>
      </c>
      <c r="F26" s="182" t="s">
        <v>468</v>
      </c>
      <c r="G26" s="156" t="s">
        <v>384</v>
      </c>
      <c r="H26" s="185" t="s">
        <v>469</v>
      </c>
      <c r="I26" s="197"/>
      <c r="J26" s="170"/>
      <c r="K26" s="170"/>
      <c r="L26" s="170"/>
      <c r="M26" s="170"/>
      <c r="N26" s="170"/>
      <c r="O26" s="170"/>
      <c r="P26" s="198"/>
    </row>
    <row r="27" spans="1:16" s="157" customFormat="1" x14ac:dyDescent="0.15">
      <c r="A27" s="179"/>
      <c r="B27" s="161"/>
      <c r="C27" s="156" t="s">
        <v>385</v>
      </c>
      <c r="D27" s="183"/>
      <c r="E27" s="156" t="s">
        <v>386</v>
      </c>
      <c r="F27" s="183"/>
      <c r="G27" s="156" t="s">
        <v>387</v>
      </c>
      <c r="H27" s="186"/>
      <c r="I27" s="199"/>
      <c r="J27" s="200"/>
      <c r="K27" s="200"/>
      <c r="L27" s="200"/>
      <c r="M27" s="200"/>
      <c r="N27" s="200"/>
      <c r="O27" s="200"/>
      <c r="P27" s="201"/>
    </row>
    <row r="28" spans="1:16" s="157" customFormat="1" x14ac:dyDescent="0.15">
      <c r="A28" s="179"/>
      <c r="B28" s="161"/>
      <c r="C28" s="156" t="s">
        <v>174</v>
      </c>
      <c r="D28" s="183"/>
      <c r="E28" s="156" t="s">
        <v>174</v>
      </c>
      <c r="F28" s="183"/>
      <c r="G28" s="156" t="s">
        <v>388</v>
      </c>
      <c r="H28" s="186"/>
      <c r="I28" s="194">
        <v>24</v>
      </c>
      <c r="J28" s="180" t="s">
        <v>448</v>
      </c>
      <c r="K28" s="154" t="s">
        <v>345</v>
      </c>
      <c r="L28" s="163" t="s">
        <v>470</v>
      </c>
      <c r="M28" s="154" t="s">
        <v>345</v>
      </c>
      <c r="N28" s="163" t="s">
        <v>471</v>
      </c>
      <c r="O28" s="154" t="s">
        <v>349</v>
      </c>
      <c r="P28" s="166" t="s">
        <v>472</v>
      </c>
    </row>
    <row r="29" spans="1:16" s="157" customFormat="1" x14ac:dyDescent="0.15">
      <c r="A29" s="179"/>
      <c r="B29" s="181"/>
      <c r="C29" s="156" t="s">
        <v>60</v>
      </c>
      <c r="D29" s="184"/>
      <c r="E29" s="156" t="s">
        <v>60</v>
      </c>
      <c r="F29" s="184"/>
      <c r="G29" s="156" t="s">
        <v>389</v>
      </c>
      <c r="H29" s="187"/>
      <c r="I29" s="189"/>
      <c r="J29" s="161"/>
      <c r="K29" s="156" t="s">
        <v>391</v>
      </c>
      <c r="L29" s="164"/>
      <c r="M29" s="156" t="s">
        <v>424</v>
      </c>
      <c r="N29" s="164"/>
      <c r="O29" s="156" t="s">
        <v>425</v>
      </c>
      <c r="P29" s="167"/>
    </row>
    <row r="30" spans="1:16" s="157" customFormat="1" ht="13.5" customHeight="1" x14ac:dyDescent="0.15">
      <c r="A30" s="196">
        <v>10</v>
      </c>
      <c r="B30" s="160" t="s">
        <v>448</v>
      </c>
      <c r="C30" s="154" t="s">
        <v>345</v>
      </c>
      <c r="D30" s="182" t="s">
        <v>473</v>
      </c>
      <c r="E30" s="154" t="s">
        <v>345</v>
      </c>
      <c r="F30" s="182" t="s">
        <v>474</v>
      </c>
      <c r="G30" s="154" t="s">
        <v>349</v>
      </c>
      <c r="H30" s="185" t="s">
        <v>475</v>
      </c>
      <c r="I30" s="189"/>
      <c r="J30" s="161"/>
      <c r="K30" s="156" t="s">
        <v>395</v>
      </c>
      <c r="L30" s="164"/>
      <c r="M30" s="156" t="s">
        <v>395</v>
      </c>
      <c r="N30" s="164"/>
      <c r="O30" s="156" t="s">
        <v>394</v>
      </c>
      <c r="P30" s="167"/>
    </row>
    <row r="31" spans="1:16" s="157" customFormat="1" x14ac:dyDescent="0.15">
      <c r="A31" s="179"/>
      <c r="B31" s="161"/>
      <c r="C31" s="156" t="s">
        <v>391</v>
      </c>
      <c r="D31" s="183"/>
      <c r="E31" s="156" t="s">
        <v>392</v>
      </c>
      <c r="F31" s="183"/>
      <c r="G31" s="156" t="s">
        <v>393</v>
      </c>
      <c r="H31" s="186"/>
      <c r="I31" s="195"/>
      <c r="J31" s="181"/>
      <c r="K31" s="158" t="s">
        <v>58</v>
      </c>
      <c r="L31" s="176"/>
      <c r="M31" s="158" t="s">
        <v>58</v>
      </c>
      <c r="N31" s="176"/>
      <c r="O31" s="158"/>
      <c r="P31" s="177"/>
    </row>
    <row r="32" spans="1:16" s="157" customFormat="1" x14ac:dyDescent="0.15">
      <c r="A32" s="179"/>
      <c r="B32" s="161"/>
      <c r="C32" s="156" t="s">
        <v>395</v>
      </c>
      <c r="D32" s="183"/>
      <c r="E32" s="156" t="s">
        <v>395</v>
      </c>
      <c r="F32" s="183"/>
      <c r="G32" s="156" t="s">
        <v>394</v>
      </c>
      <c r="H32" s="186"/>
      <c r="I32" s="188">
        <v>25</v>
      </c>
      <c r="J32" s="160" t="s">
        <v>55</v>
      </c>
      <c r="K32" s="156" t="s">
        <v>428</v>
      </c>
      <c r="L32" s="163" t="s">
        <v>476</v>
      </c>
      <c r="M32" s="156" t="s">
        <v>429</v>
      </c>
      <c r="N32" s="163" t="s">
        <v>477</v>
      </c>
      <c r="O32" s="156" t="s">
        <v>401</v>
      </c>
      <c r="P32" s="166" t="s">
        <v>478</v>
      </c>
    </row>
    <row r="33" spans="1:16" s="157" customFormat="1" x14ac:dyDescent="0.15">
      <c r="A33" s="192"/>
      <c r="B33" s="175"/>
      <c r="C33" s="158" t="s">
        <v>479</v>
      </c>
      <c r="D33" s="184"/>
      <c r="E33" s="158" t="s">
        <v>479</v>
      </c>
      <c r="F33" s="184"/>
      <c r="G33" s="158"/>
      <c r="H33" s="187"/>
      <c r="I33" s="189"/>
      <c r="J33" s="161"/>
      <c r="K33" s="156" t="s">
        <v>432</v>
      </c>
      <c r="L33" s="164"/>
      <c r="M33" s="156" t="s">
        <v>432</v>
      </c>
      <c r="N33" s="164"/>
      <c r="O33" s="156" t="s">
        <v>430</v>
      </c>
      <c r="P33" s="167"/>
    </row>
    <row r="34" spans="1:16" s="157" customFormat="1" ht="13.5" customHeight="1" x14ac:dyDescent="0.15">
      <c r="A34" s="179">
        <v>11</v>
      </c>
      <c r="B34" s="180" t="s">
        <v>55</v>
      </c>
      <c r="C34" s="156" t="s">
        <v>398</v>
      </c>
      <c r="D34" s="182" t="s">
        <v>480</v>
      </c>
      <c r="E34" s="156" t="s">
        <v>400</v>
      </c>
      <c r="F34" s="182" t="s">
        <v>481</v>
      </c>
      <c r="G34" s="156" t="s">
        <v>401</v>
      </c>
      <c r="H34" s="185" t="s">
        <v>482</v>
      </c>
      <c r="I34" s="189"/>
      <c r="J34" s="161"/>
      <c r="K34" s="156"/>
      <c r="L34" s="164"/>
      <c r="M34" s="156"/>
      <c r="N34" s="164"/>
      <c r="O34" s="156" t="s">
        <v>431</v>
      </c>
      <c r="P34" s="167"/>
    </row>
    <row r="35" spans="1:16" s="157" customFormat="1" x14ac:dyDescent="0.15">
      <c r="A35" s="179"/>
      <c r="B35" s="161"/>
      <c r="C35" s="156" t="s">
        <v>158</v>
      </c>
      <c r="D35" s="183"/>
      <c r="E35" s="156" t="s">
        <v>158</v>
      </c>
      <c r="F35" s="183"/>
      <c r="G35" s="156" t="s">
        <v>402</v>
      </c>
      <c r="H35" s="186"/>
      <c r="I35" s="193"/>
      <c r="J35" s="175"/>
      <c r="K35" s="156"/>
      <c r="L35" s="176"/>
      <c r="M35" s="156"/>
      <c r="N35" s="176"/>
      <c r="O35" s="156"/>
      <c r="P35" s="177"/>
    </row>
    <row r="36" spans="1:16" s="157" customFormat="1" x14ac:dyDescent="0.15">
      <c r="A36" s="179"/>
      <c r="B36" s="161"/>
      <c r="C36" s="156"/>
      <c r="D36" s="183"/>
      <c r="E36" s="156"/>
      <c r="F36" s="183"/>
      <c r="G36" s="156" t="s">
        <v>381</v>
      </c>
      <c r="H36" s="186"/>
      <c r="I36" s="194">
        <v>26</v>
      </c>
      <c r="J36" s="180" t="s">
        <v>455</v>
      </c>
      <c r="K36" s="154" t="s">
        <v>345</v>
      </c>
      <c r="L36" s="163" t="s">
        <v>483</v>
      </c>
      <c r="M36" s="154" t="s">
        <v>345</v>
      </c>
      <c r="N36" s="163" t="s">
        <v>483</v>
      </c>
      <c r="O36" s="154" t="s">
        <v>349</v>
      </c>
      <c r="P36" s="166" t="s">
        <v>484</v>
      </c>
    </row>
    <row r="37" spans="1:16" s="157" customFormat="1" x14ac:dyDescent="0.15">
      <c r="A37" s="179"/>
      <c r="B37" s="181"/>
      <c r="C37" s="156"/>
      <c r="D37" s="184"/>
      <c r="E37" s="156"/>
      <c r="F37" s="184"/>
      <c r="G37" s="156"/>
      <c r="H37" s="187"/>
      <c r="I37" s="189"/>
      <c r="J37" s="161"/>
      <c r="K37" s="156" t="s">
        <v>404</v>
      </c>
      <c r="L37" s="164"/>
      <c r="M37" s="156" t="s">
        <v>404</v>
      </c>
      <c r="N37" s="164"/>
      <c r="O37" s="156" t="s">
        <v>405</v>
      </c>
      <c r="P37" s="167"/>
    </row>
    <row r="38" spans="1:16" s="157" customFormat="1" ht="13.5" customHeight="1" x14ac:dyDescent="0.15">
      <c r="A38" s="191">
        <v>12</v>
      </c>
      <c r="B38" s="160" t="s">
        <v>455</v>
      </c>
      <c r="C38" s="154" t="s">
        <v>345</v>
      </c>
      <c r="D38" s="182" t="s">
        <v>483</v>
      </c>
      <c r="E38" s="154" t="s">
        <v>345</v>
      </c>
      <c r="F38" s="182" t="s">
        <v>483</v>
      </c>
      <c r="G38" s="154" t="s">
        <v>349</v>
      </c>
      <c r="H38" s="185" t="s">
        <v>484</v>
      </c>
      <c r="I38" s="189"/>
      <c r="J38" s="161"/>
      <c r="K38" s="156" t="s">
        <v>407</v>
      </c>
      <c r="L38" s="164"/>
      <c r="M38" s="156" t="s">
        <v>407</v>
      </c>
      <c r="N38" s="164"/>
      <c r="O38" s="156" t="s">
        <v>406</v>
      </c>
      <c r="P38" s="167"/>
    </row>
    <row r="39" spans="1:16" s="157" customFormat="1" x14ac:dyDescent="0.15">
      <c r="A39" s="179"/>
      <c r="B39" s="161"/>
      <c r="C39" s="156" t="s">
        <v>404</v>
      </c>
      <c r="D39" s="183"/>
      <c r="E39" s="156" t="s">
        <v>404</v>
      </c>
      <c r="F39" s="183"/>
      <c r="G39" s="156" t="s">
        <v>405</v>
      </c>
      <c r="H39" s="186"/>
      <c r="I39" s="195"/>
      <c r="J39" s="181"/>
      <c r="K39" s="158" t="s">
        <v>485</v>
      </c>
      <c r="L39" s="176"/>
      <c r="M39" s="158" t="s">
        <v>485</v>
      </c>
      <c r="N39" s="176"/>
      <c r="O39" s="158" t="s">
        <v>82</v>
      </c>
      <c r="P39" s="177"/>
    </row>
    <row r="40" spans="1:16" s="157" customFormat="1" x14ac:dyDescent="0.15">
      <c r="A40" s="179"/>
      <c r="B40" s="161"/>
      <c r="C40" s="156" t="s">
        <v>407</v>
      </c>
      <c r="D40" s="183"/>
      <c r="E40" s="156" t="s">
        <v>407</v>
      </c>
      <c r="F40" s="183"/>
      <c r="G40" s="156" t="s">
        <v>406</v>
      </c>
      <c r="H40" s="186"/>
      <c r="I40" s="188">
        <v>27</v>
      </c>
      <c r="J40" s="160" t="s">
        <v>459</v>
      </c>
      <c r="K40" s="156" t="s">
        <v>345</v>
      </c>
      <c r="L40" s="163" t="s">
        <v>486</v>
      </c>
      <c r="M40" s="156" t="s">
        <v>345</v>
      </c>
      <c r="N40" s="163" t="s">
        <v>487</v>
      </c>
      <c r="O40" s="156" t="s">
        <v>349</v>
      </c>
      <c r="P40" s="166" t="s">
        <v>488</v>
      </c>
    </row>
    <row r="41" spans="1:16" s="157" customFormat="1" x14ac:dyDescent="0.15">
      <c r="A41" s="192"/>
      <c r="B41" s="175"/>
      <c r="C41" s="158" t="s">
        <v>485</v>
      </c>
      <c r="D41" s="184"/>
      <c r="E41" s="158" t="s">
        <v>485</v>
      </c>
      <c r="F41" s="184"/>
      <c r="G41" s="158" t="s">
        <v>82</v>
      </c>
      <c r="H41" s="187"/>
      <c r="I41" s="189"/>
      <c r="J41" s="161"/>
      <c r="K41" s="156" t="s">
        <v>409</v>
      </c>
      <c r="L41" s="164"/>
      <c r="M41" s="156" t="s">
        <v>410</v>
      </c>
      <c r="N41" s="164"/>
      <c r="O41" s="156" t="s">
        <v>411</v>
      </c>
      <c r="P41" s="167"/>
    </row>
    <row r="42" spans="1:16" s="157" customFormat="1" ht="13.5" customHeight="1" x14ac:dyDescent="0.15">
      <c r="A42" s="178">
        <v>13</v>
      </c>
      <c r="B42" s="180" t="s">
        <v>459</v>
      </c>
      <c r="C42" s="156" t="s">
        <v>345</v>
      </c>
      <c r="D42" s="182" t="s">
        <v>489</v>
      </c>
      <c r="E42" s="156" t="s">
        <v>345</v>
      </c>
      <c r="F42" s="182" t="s">
        <v>490</v>
      </c>
      <c r="G42" s="156" t="s">
        <v>349</v>
      </c>
      <c r="H42" s="185" t="s">
        <v>491</v>
      </c>
      <c r="I42" s="189"/>
      <c r="J42" s="161"/>
      <c r="K42" s="156" t="s">
        <v>395</v>
      </c>
      <c r="L42" s="164"/>
      <c r="M42" s="156" t="s">
        <v>395</v>
      </c>
      <c r="N42" s="164"/>
      <c r="O42" s="156" t="s">
        <v>412</v>
      </c>
      <c r="P42" s="167"/>
    </row>
    <row r="43" spans="1:16" s="157" customFormat="1" x14ac:dyDescent="0.15">
      <c r="A43" s="179"/>
      <c r="B43" s="161"/>
      <c r="C43" s="156" t="s">
        <v>409</v>
      </c>
      <c r="D43" s="183"/>
      <c r="E43" s="156" t="s">
        <v>410</v>
      </c>
      <c r="F43" s="183"/>
      <c r="G43" s="156" t="s">
        <v>411</v>
      </c>
      <c r="H43" s="186"/>
      <c r="I43" s="193"/>
      <c r="J43" s="175"/>
      <c r="K43" s="156" t="s">
        <v>492</v>
      </c>
      <c r="L43" s="176"/>
      <c r="M43" s="156" t="s">
        <v>492</v>
      </c>
      <c r="N43" s="176"/>
      <c r="O43" s="156"/>
      <c r="P43" s="177"/>
    </row>
    <row r="44" spans="1:16" s="157" customFormat="1" x14ac:dyDescent="0.15">
      <c r="A44" s="179"/>
      <c r="B44" s="161"/>
      <c r="C44" s="156" t="s">
        <v>413</v>
      </c>
      <c r="D44" s="183"/>
      <c r="E44" s="156" t="s">
        <v>413</v>
      </c>
      <c r="F44" s="183"/>
      <c r="G44" s="156" t="s">
        <v>412</v>
      </c>
      <c r="H44" s="186"/>
      <c r="I44" s="188">
        <v>30</v>
      </c>
      <c r="J44" s="160" t="s">
        <v>442</v>
      </c>
      <c r="K44" s="154" t="s">
        <v>345</v>
      </c>
      <c r="L44" s="163" t="s">
        <v>443</v>
      </c>
      <c r="M44" s="154" t="s">
        <v>345</v>
      </c>
      <c r="N44" s="163" t="s">
        <v>444</v>
      </c>
      <c r="O44" s="154" t="s">
        <v>349</v>
      </c>
      <c r="P44" s="166" t="s">
        <v>445</v>
      </c>
    </row>
    <row r="45" spans="1:16" s="157" customFormat="1" x14ac:dyDescent="0.15">
      <c r="A45" s="179"/>
      <c r="B45" s="181"/>
      <c r="C45" s="156" t="s">
        <v>492</v>
      </c>
      <c r="D45" s="184"/>
      <c r="E45" s="156" t="s">
        <v>492</v>
      </c>
      <c r="F45" s="184"/>
      <c r="G45" s="156"/>
      <c r="H45" s="187"/>
      <c r="I45" s="189"/>
      <c r="J45" s="161"/>
      <c r="K45" s="156" t="s">
        <v>350</v>
      </c>
      <c r="L45" s="164"/>
      <c r="M45" s="156" t="s">
        <v>351</v>
      </c>
      <c r="N45" s="164"/>
      <c r="O45" s="156" t="s">
        <v>352</v>
      </c>
      <c r="P45" s="167"/>
    </row>
    <row r="46" spans="1:16" s="157" customFormat="1" ht="13.5" customHeight="1" x14ac:dyDescent="0.15">
      <c r="A46" s="169"/>
      <c r="B46" s="170"/>
      <c r="C46" s="170"/>
      <c r="D46" s="170"/>
      <c r="E46" s="170"/>
      <c r="F46" s="170"/>
      <c r="G46" s="170"/>
      <c r="H46" s="171"/>
      <c r="I46" s="189"/>
      <c r="J46" s="161"/>
      <c r="K46" s="156" t="s">
        <v>357</v>
      </c>
      <c r="L46" s="164"/>
      <c r="M46" s="156" t="s">
        <v>357</v>
      </c>
      <c r="N46" s="164"/>
      <c r="O46" s="156" t="s">
        <v>355</v>
      </c>
      <c r="P46" s="167"/>
    </row>
    <row r="47" spans="1:16" s="157" customFormat="1" ht="14.25" thickBot="1" x14ac:dyDescent="0.2">
      <c r="A47" s="172"/>
      <c r="B47" s="173"/>
      <c r="C47" s="173"/>
      <c r="D47" s="173"/>
      <c r="E47" s="173"/>
      <c r="F47" s="173"/>
      <c r="G47" s="173"/>
      <c r="H47" s="174"/>
      <c r="I47" s="190"/>
      <c r="J47" s="162"/>
      <c r="K47" s="159" t="s">
        <v>446</v>
      </c>
      <c r="L47" s="165"/>
      <c r="M47" s="159" t="s">
        <v>446</v>
      </c>
      <c r="N47" s="165"/>
      <c r="O47" s="159" t="s">
        <v>82</v>
      </c>
      <c r="P47" s="168"/>
    </row>
    <row r="48" spans="1:16" s="157" customFormat="1" x14ac:dyDescent="0.15">
      <c r="A48" s="155"/>
      <c r="I48" s="155"/>
    </row>
    <row r="49" spans="1:9" s="157" customFormat="1" x14ac:dyDescent="0.15">
      <c r="A49" s="155"/>
      <c r="I49" s="155"/>
    </row>
    <row r="50" spans="1:9" s="157" customFormat="1" ht="13.5" customHeight="1" x14ac:dyDescent="0.15">
      <c r="A50" s="155"/>
      <c r="I50" s="155"/>
    </row>
    <row r="51" spans="1:9" s="157" customFormat="1" x14ac:dyDescent="0.15">
      <c r="A51" s="155"/>
      <c r="I51" s="155"/>
    </row>
    <row r="52" spans="1:9" s="157" customFormat="1" x14ac:dyDescent="0.15">
      <c r="A52" s="155"/>
      <c r="I52" s="155"/>
    </row>
    <row r="53" spans="1:9" s="157" customFormat="1" x14ac:dyDescent="0.15">
      <c r="A53" s="155"/>
      <c r="I53" s="155"/>
    </row>
    <row r="54" spans="1:9" s="157" customFormat="1" ht="13.5" customHeight="1" x14ac:dyDescent="0.15">
      <c r="A54" s="155"/>
      <c r="I54" s="155"/>
    </row>
    <row r="55" spans="1:9" s="157" customFormat="1" x14ac:dyDescent="0.15">
      <c r="A55" s="155"/>
      <c r="I55" s="155"/>
    </row>
    <row r="56" spans="1:9" s="157" customFormat="1" x14ac:dyDescent="0.15">
      <c r="A56" s="155"/>
      <c r="I56" s="155"/>
    </row>
    <row r="57" spans="1:9" s="157" customFormat="1" x14ac:dyDescent="0.15">
      <c r="A57" s="155"/>
      <c r="I57" s="155"/>
    </row>
    <row r="58" spans="1:9" s="157" customFormat="1" ht="13.5" customHeight="1" x14ac:dyDescent="0.15">
      <c r="A58" s="155"/>
      <c r="I58" s="155"/>
    </row>
    <row r="59" spans="1:9" s="157" customFormat="1" x14ac:dyDescent="0.15">
      <c r="A59" s="155"/>
      <c r="I59" s="155"/>
    </row>
    <row r="60" spans="1:9" s="157" customFormat="1" x14ac:dyDescent="0.15">
      <c r="A60" s="155"/>
      <c r="I60" s="155"/>
    </row>
    <row r="61" spans="1:9" s="157" customFormat="1" x14ac:dyDescent="0.15">
      <c r="A61" s="155"/>
      <c r="I61" s="155"/>
    </row>
    <row r="62" spans="1:9" s="157" customFormat="1" ht="13.5" customHeight="1" x14ac:dyDescent="0.15">
      <c r="A62" s="155"/>
      <c r="I62" s="155"/>
    </row>
    <row r="63" spans="1:9" s="157" customFormat="1" x14ac:dyDescent="0.15">
      <c r="A63" s="155"/>
      <c r="I63" s="155"/>
    </row>
    <row r="64" spans="1:9" s="157" customFormat="1" x14ac:dyDescent="0.15">
      <c r="A64" s="155"/>
      <c r="I64" s="155"/>
    </row>
    <row r="65" spans="1:16" s="157" customFormat="1" x14ac:dyDescent="0.15">
      <c r="A65" s="155"/>
      <c r="I65" s="155"/>
    </row>
    <row r="66" spans="1:16" s="157" customFormat="1" x14ac:dyDescent="0.15">
      <c r="A66" s="155"/>
      <c r="I66" s="155"/>
    </row>
    <row r="67" spans="1:16" s="157" customFormat="1" x14ac:dyDescent="0.15">
      <c r="A67" s="155"/>
      <c r="I67" s="150"/>
      <c r="J67" s="149"/>
      <c r="K67" s="149"/>
      <c r="L67" s="149"/>
      <c r="M67" s="149"/>
      <c r="N67" s="149"/>
      <c r="O67" s="149"/>
      <c r="P67" s="149"/>
    </row>
    <row r="68" spans="1:16" s="157" customFormat="1" x14ac:dyDescent="0.15">
      <c r="A68" s="155"/>
      <c r="I68" s="150"/>
      <c r="J68" s="149"/>
      <c r="K68" s="149"/>
      <c r="L68" s="149"/>
      <c r="M68" s="149"/>
      <c r="N68" s="149"/>
      <c r="O68" s="149"/>
      <c r="P68" s="149"/>
    </row>
    <row r="69" spans="1:16" s="157" customFormat="1" x14ac:dyDescent="0.15">
      <c r="A69" s="155"/>
      <c r="I69" s="150"/>
      <c r="J69" s="149"/>
      <c r="K69" s="149"/>
      <c r="L69" s="149"/>
      <c r="M69" s="149"/>
      <c r="N69" s="149"/>
      <c r="O69" s="149"/>
      <c r="P69" s="149"/>
    </row>
    <row r="70" spans="1:16" s="157" customFormat="1" x14ac:dyDescent="0.15">
      <c r="A70" s="150"/>
      <c r="B70" s="149"/>
      <c r="C70" s="149"/>
      <c r="D70" s="149"/>
      <c r="E70" s="149"/>
      <c r="F70" s="149"/>
      <c r="G70" s="149"/>
      <c r="H70" s="149"/>
      <c r="I70" s="150"/>
      <c r="J70" s="149"/>
      <c r="K70" s="149"/>
      <c r="L70" s="149"/>
      <c r="M70" s="149"/>
      <c r="N70" s="149"/>
      <c r="O70" s="149"/>
      <c r="P70" s="149"/>
    </row>
    <row r="71" spans="1:16" s="157" customFormat="1" x14ac:dyDescent="0.15">
      <c r="A71" s="150"/>
      <c r="B71" s="149"/>
      <c r="C71" s="149"/>
      <c r="D71" s="149"/>
      <c r="E71" s="149"/>
      <c r="F71" s="149"/>
      <c r="G71" s="149"/>
      <c r="H71" s="149"/>
      <c r="I71" s="150"/>
      <c r="J71" s="149"/>
      <c r="K71" s="149"/>
      <c r="L71" s="149"/>
      <c r="M71" s="149"/>
      <c r="N71" s="149"/>
      <c r="O71" s="149"/>
      <c r="P71" s="149"/>
    </row>
    <row r="72" spans="1:16" s="157" customFormat="1" x14ac:dyDescent="0.15">
      <c r="A72" s="150"/>
      <c r="B72" s="149"/>
      <c r="C72" s="149"/>
      <c r="D72" s="149"/>
      <c r="E72" s="149"/>
      <c r="F72" s="149"/>
      <c r="G72" s="149"/>
      <c r="H72" s="149"/>
      <c r="I72" s="150"/>
      <c r="J72" s="149"/>
      <c r="K72" s="149"/>
      <c r="L72" s="149"/>
      <c r="M72" s="149"/>
      <c r="N72" s="149"/>
      <c r="O72" s="149"/>
      <c r="P72" s="149"/>
    </row>
    <row r="73" spans="1:16" s="157" customFormat="1" x14ac:dyDescent="0.15">
      <c r="A73" s="150"/>
      <c r="B73" s="149"/>
      <c r="C73" s="149"/>
      <c r="D73" s="149"/>
      <c r="E73" s="149"/>
      <c r="F73" s="149"/>
      <c r="G73" s="149"/>
      <c r="H73" s="149"/>
      <c r="I73" s="150"/>
      <c r="J73" s="149"/>
      <c r="K73" s="149"/>
      <c r="L73" s="149"/>
      <c r="M73" s="149"/>
      <c r="N73" s="149"/>
      <c r="O73" s="149"/>
      <c r="P73" s="149"/>
    </row>
    <row r="74" spans="1:16" s="157" customFormat="1" x14ac:dyDescent="0.15">
      <c r="A74" s="150"/>
      <c r="B74" s="149"/>
      <c r="C74" s="149"/>
      <c r="D74" s="149"/>
      <c r="E74" s="149"/>
      <c r="F74" s="149"/>
      <c r="G74" s="149"/>
      <c r="H74" s="149"/>
      <c r="I74" s="150"/>
      <c r="J74" s="149"/>
      <c r="K74" s="149"/>
      <c r="L74" s="149"/>
      <c r="M74" s="149"/>
      <c r="N74" s="149"/>
      <c r="O74" s="149"/>
      <c r="P74" s="149"/>
    </row>
    <row r="75" spans="1:16" s="157" customFormat="1" x14ac:dyDescent="0.15">
      <c r="A75" s="150"/>
      <c r="B75" s="149"/>
      <c r="C75" s="149"/>
      <c r="D75" s="149"/>
      <c r="E75" s="149"/>
      <c r="F75" s="149"/>
      <c r="G75" s="149"/>
      <c r="H75" s="149"/>
      <c r="I75" s="150"/>
      <c r="J75" s="149"/>
      <c r="K75" s="149"/>
      <c r="L75" s="149"/>
      <c r="M75" s="149"/>
      <c r="N75" s="149"/>
      <c r="O75" s="149"/>
      <c r="P75" s="149"/>
    </row>
    <row r="76" spans="1:16" s="157" customFormat="1" x14ac:dyDescent="0.15">
      <c r="A76" s="150"/>
      <c r="B76" s="149"/>
      <c r="C76" s="149"/>
      <c r="D76" s="149"/>
      <c r="E76" s="149"/>
      <c r="F76" s="149"/>
      <c r="G76" s="149"/>
      <c r="H76" s="149"/>
      <c r="I76" s="150"/>
      <c r="J76" s="149"/>
      <c r="K76" s="149"/>
      <c r="L76" s="149"/>
      <c r="M76" s="149"/>
      <c r="N76" s="149"/>
      <c r="O76" s="149"/>
      <c r="P76" s="149"/>
    </row>
    <row r="77" spans="1:16" s="157" customFormat="1" x14ac:dyDescent="0.15">
      <c r="A77" s="150"/>
      <c r="B77" s="149"/>
      <c r="C77" s="149"/>
      <c r="D77" s="149"/>
      <c r="E77" s="149"/>
      <c r="F77" s="149"/>
      <c r="G77" s="149"/>
      <c r="H77" s="149"/>
      <c r="I77" s="150"/>
      <c r="J77" s="149"/>
      <c r="K77" s="149"/>
      <c r="L77" s="149"/>
      <c r="M77" s="149"/>
      <c r="N77" s="149"/>
      <c r="O77" s="149"/>
      <c r="P77" s="149"/>
    </row>
    <row r="78" spans="1:16" s="157" customFormat="1" x14ac:dyDescent="0.15">
      <c r="A78" s="150"/>
      <c r="B78" s="149"/>
      <c r="C78" s="149"/>
      <c r="D78" s="149"/>
      <c r="E78" s="149"/>
      <c r="F78" s="149"/>
      <c r="G78" s="149"/>
      <c r="H78" s="149"/>
      <c r="I78" s="150"/>
      <c r="J78" s="149"/>
      <c r="K78" s="149"/>
      <c r="L78" s="149"/>
      <c r="M78" s="149"/>
      <c r="N78" s="149"/>
      <c r="O78" s="149"/>
      <c r="P78" s="149"/>
    </row>
    <row r="79" spans="1:16" s="157" customFormat="1" x14ac:dyDescent="0.15">
      <c r="A79" s="150"/>
      <c r="B79" s="149"/>
      <c r="C79" s="149"/>
      <c r="D79" s="149"/>
      <c r="E79" s="149"/>
      <c r="F79" s="149"/>
      <c r="G79" s="149"/>
      <c r="H79" s="149"/>
      <c r="I79" s="150"/>
      <c r="J79" s="149"/>
      <c r="K79" s="149"/>
      <c r="L79" s="149"/>
      <c r="M79" s="149"/>
      <c r="N79" s="149"/>
      <c r="O79" s="149"/>
      <c r="P79" s="149"/>
    </row>
    <row r="80" spans="1:16" s="157" customFormat="1" x14ac:dyDescent="0.15">
      <c r="A80" s="150"/>
      <c r="B80" s="149"/>
      <c r="C80" s="149"/>
      <c r="D80" s="149"/>
      <c r="E80" s="149"/>
      <c r="F80" s="149"/>
      <c r="G80" s="149"/>
      <c r="H80" s="149"/>
      <c r="I80" s="150"/>
      <c r="J80" s="149"/>
      <c r="K80" s="149"/>
      <c r="L80" s="149"/>
      <c r="M80" s="149"/>
      <c r="N80" s="149"/>
      <c r="O80" s="149"/>
      <c r="P80" s="149"/>
    </row>
    <row r="81" spans="1:17" s="157" customFormat="1" x14ac:dyDescent="0.15">
      <c r="A81" s="150"/>
      <c r="B81" s="149"/>
      <c r="C81" s="149"/>
      <c r="D81" s="149"/>
      <c r="E81" s="149"/>
      <c r="F81" s="149"/>
      <c r="G81" s="149"/>
      <c r="H81" s="149"/>
      <c r="I81" s="150"/>
      <c r="J81" s="149"/>
      <c r="K81" s="149"/>
      <c r="L81" s="149"/>
      <c r="M81" s="149"/>
      <c r="N81" s="149"/>
      <c r="O81" s="149"/>
      <c r="P81" s="149"/>
    </row>
    <row r="82" spans="1:17" s="157" customFormat="1" x14ac:dyDescent="0.15">
      <c r="A82" s="150"/>
      <c r="B82" s="149"/>
      <c r="C82" s="149"/>
      <c r="D82" s="149"/>
      <c r="E82" s="149"/>
      <c r="F82" s="149"/>
      <c r="G82" s="149"/>
      <c r="H82" s="149"/>
      <c r="I82" s="150"/>
      <c r="J82" s="149"/>
      <c r="K82" s="149"/>
      <c r="L82" s="149"/>
      <c r="M82" s="149"/>
      <c r="N82" s="149"/>
      <c r="O82" s="149"/>
      <c r="P82" s="149"/>
    </row>
    <row r="83" spans="1:17" s="157" customFormat="1" x14ac:dyDescent="0.15">
      <c r="A83" s="150"/>
      <c r="B83" s="149"/>
      <c r="C83" s="149"/>
      <c r="D83" s="149"/>
      <c r="E83" s="149"/>
      <c r="F83" s="149"/>
      <c r="G83" s="149"/>
      <c r="H83" s="149"/>
      <c r="I83" s="150"/>
      <c r="J83" s="149"/>
      <c r="K83" s="149"/>
      <c r="L83" s="149"/>
      <c r="M83" s="149"/>
      <c r="N83" s="149"/>
      <c r="O83" s="149"/>
      <c r="P83" s="149"/>
    </row>
    <row r="84" spans="1:17" s="157" customFormat="1" x14ac:dyDescent="0.15">
      <c r="A84" s="150"/>
      <c r="B84" s="149"/>
      <c r="C84" s="149"/>
      <c r="D84" s="149"/>
      <c r="E84" s="149"/>
      <c r="F84" s="149"/>
      <c r="G84" s="149"/>
      <c r="H84" s="149"/>
      <c r="I84" s="150"/>
      <c r="J84" s="149"/>
      <c r="K84" s="149"/>
      <c r="L84" s="149"/>
      <c r="M84" s="149"/>
      <c r="N84" s="149"/>
      <c r="O84" s="149"/>
      <c r="P84" s="149"/>
    </row>
    <row r="85" spans="1:17" s="157" customFormat="1" x14ac:dyDescent="0.15">
      <c r="A85" s="150"/>
      <c r="B85" s="149"/>
      <c r="C85" s="149"/>
      <c r="D85" s="149"/>
      <c r="E85" s="149"/>
      <c r="F85" s="149"/>
      <c r="G85" s="149"/>
      <c r="H85" s="149"/>
      <c r="I85" s="150"/>
      <c r="J85" s="149"/>
      <c r="K85" s="149"/>
      <c r="L85" s="149"/>
      <c r="M85" s="149"/>
      <c r="N85" s="149"/>
      <c r="O85" s="149"/>
      <c r="P85" s="149"/>
      <c r="Q85" s="149"/>
    </row>
    <row r="86" spans="1:17" s="157" customFormat="1" x14ac:dyDescent="0.15">
      <c r="A86" s="150"/>
      <c r="B86" s="149"/>
      <c r="C86" s="149"/>
      <c r="D86" s="149"/>
      <c r="E86" s="149"/>
      <c r="F86" s="149"/>
      <c r="G86" s="149"/>
      <c r="H86" s="149"/>
      <c r="I86" s="150"/>
      <c r="J86" s="149"/>
      <c r="K86" s="149"/>
      <c r="L86" s="149"/>
      <c r="M86" s="149"/>
      <c r="N86" s="149"/>
      <c r="O86" s="149"/>
      <c r="P86" s="149"/>
      <c r="Q86" s="149"/>
    </row>
    <row r="87" spans="1:17" s="157" customFormat="1" x14ac:dyDescent="0.15">
      <c r="A87" s="150"/>
      <c r="B87" s="149"/>
      <c r="C87" s="149"/>
      <c r="D87" s="149"/>
      <c r="E87" s="149"/>
      <c r="F87" s="149"/>
      <c r="G87" s="149"/>
      <c r="H87" s="149"/>
      <c r="I87" s="150"/>
      <c r="J87" s="149"/>
      <c r="K87" s="149"/>
      <c r="L87" s="149"/>
      <c r="M87" s="149"/>
      <c r="N87" s="149"/>
      <c r="O87" s="149"/>
      <c r="P87" s="149"/>
      <c r="Q87" s="149"/>
    </row>
    <row r="88" spans="1:17" s="157" customFormat="1" x14ac:dyDescent="0.15">
      <c r="A88" s="150"/>
      <c r="B88" s="149"/>
      <c r="C88" s="149"/>
      <c r="D88" s="149"/>
      <c r="E88" s="149"/>
      <c r="F88" s="149"/>
      <c r="G88" s="149"/>
      <c r="H88" s="149"/>
      <c r="I88" s="150"/>
      <c r="J88" s="149"/>
      <c r="K88" s="149"/>
      <c r="L88" s="149"/>
      <c r="M88" s="149"/>
      <c r="N88" s="149"/>
      <c r="O88" s="149"/>
      <c r="P88" s="149"/>
      <c r="Q88" s="149"/>
    </row>
  </sheetData>
  <mergeCells count="109">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 ref="J6:J9"/>
    <mergeCell ref="L6:L9"/>
    <mergeCell ref="N6:N9"/>
    <mergeCell ref="P6:P9"/>
    <mergeCell ref="A10:H11"/>
    <mergeCell ref="I10:I13"/>
    <mergeCell ref="J10:J13"/>
    <mergeCell ref="L10:L13"/>
    <mergeCell ref="N10:N13"/>
    <mergeCell ref="P10:P13"/>
    <mergeCell ref="P18:P21"/>
    <mergeCell ref="A20:A23"/>
    <mergeCell ref="B20:B23"/>
    <mergeCell ref="D20:D23"/>
    <mergeCell ref="F20:F23"/>
    <mergeCell ref="H20:H23"/>
    <mergeCell ref="I22:I25"/>
    <mergeCell ref="J14:J17"/>
    <mergeCell ref="L14:L17"/>
    <mergeCell ref="N14:N17"/>
    <mergeCell ref="P14:P17"/>
    <mergeCell ref="A16:A19"/>
    <mergeCell ref="B16:B19"/>
    <mergeCell ref="D16:D19"/>
    <mergeCell ref="F16:F19"/>
    <mergeCell ref="H16:H19"/>
    <mergeCell ref="I18:I21"/>
    <mergeCell ref="A12:A15"/>
    <mergeCell ref="B12:B15"/>
    <mergeCell ref="D12:D15"/>
    <mergeCell ref="F12:F15"/>
    <mergeCell ref="H12:H15"/>
    <mergeCell ref="I14:I17"/>
    <mergeCell ref="A24:H25"/>
    <mergeCell ref="A26:A29"/>
    <mergeCell ref="B26:B29"/>
    <mergeCell ref="D26:D29"/>
    <mergeCell ref="F26:F29"/>
    <mergeCell ref="H26:H29"/>
    <mergeCell ref="J18:J21"/>
    <mergeCell ref="L18:L21"/>
    <mergeCell ref="N18:N21"/>
    <mergeCell ref="I26:P27"/>
    <mergeCell ref="I28:I31"/>
    <mergeCell ref="J28:J31"/>
    <mergeCell ref="L28:L31"/>
    <mergeCell ref="N28:N31"/>
    <mergeCell ref="P28:P31"/>
    <mergeCell ref="J22:J25"/>
    <mergeCell ref="L22:L25"/>
    <mergeCell ref="N22:N25"/>
    <mergeCell ref="P22:P25"/>
    <mergeCell ref="J32:J35"/>
    <mergeCell ref="L32:L35"/>
    <mergeCell ref="N32:N35"/>
    <mergeCell ref="P32:P35"/>
    <mergeCell ref="A34:A37"/>
    <mergeCell ref="B34:B37"/>
    <mergeCell ref="D34:D37"/>
    <mergeCell ref="F34:F37"/>
    <mergeCell ref="H34:H37"/>
    <mergeCell ref="I36:I39"/>
    <mergeCell ref="A30:A33"/>
    <mergeCell ref="B30:B33"/>
    <mergeCell ref="D30:D33"/>
    <mergeCell ref="F30:F33"/>
    <mergeCell ref="H30:H33"/>
    <mergeCell ref="I32:I35"/>
    <mergeCell ref="J36:J39"/>
    <mergeCell ref="L36:L39"/>
    <mergeCell ref="N36:N39"/>
    <mergeCell ref="P36:P39"/>
    <mergeCell ref="A38:A41"/>
    <mergeCell ref="B38:B41"/>
    <mergeCell ref="D38:D41"/>
    <mergeCell ref="F38:F41"/>
    <mergeCell ref="H38:H41"/>
    <mergeCell ref="I40:I43"/>
    <mergeCell ref="J44:J47"/>
    <mergeCell ref="L44:L47"/>
    <mergeCell ref="N44:N47"/>
    <mergeCell ref="P44:P47"/>
    <mergeCell ref="A46:H47"/>
    <mergeCell ref="J40:J43"/>
    <mergeCell ref="L40:L43"/>
    <mergeCell ref="N40:N43"/>
    <mergeCell ref="P40:P43"/>
    <mergeCell ref="A42:A45"/>
    <mergeCell ref="B42:B45"/>
    <mergeCell ref="D42:D45"/>
    <mergeCell ref="F42:F45"/>
    <mergeCell ref="H42:H45"/>
    <mergeCell ref="I44:I47"/>
  </mergeCells>
  <phoneticPr fontId="22"/>
  <printOptions horizontalCentered="1" verticalCentered="1"/>
  <pageMargins left="0" right="0" top="0" bottom="0" header="0.19685039370078741" footer="0.19685039370078741"/>
  <pageSetup paperSize="12" scale="76"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408</v>
      </c>
      <c r="B7" s="249"/>
      <c r="C7" s="249"/>
      <c r="D7" s="114"/>
      <c r="E7" s="250" t="s">
        <v>359</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409</v>
      </c>
      <c r="C13" s="132" t="s">
        <v>130</v>
      </c>
      <c r="D13" s="132"/>
      <c r="E13" s="56"/>
      <c r="F13" s="56"/>
      <c r="G13" s="132"/>
      <c r="H13" s="135">
        <v>10</v>
      </c>
      <c r="I13" s="132" t="s">
        <v>410</v>
      </c>
      <c r="J13" s="136" t="s">
        <v>370</v>
      </c>
      <c r="K13" s="135">
        <v>5</v>
      </c>
      <c r="L13" s="132" t="s">
        <v>411</v>
      </c>
      <c r="M13" s="132" t="s">
        <v>213</v>
      </c>
      <c r="N13" s="133">
        <v>0.1</v>
      </c>
      <c r="O13" s="134"/>
    </row>
    <row r="14" spans="1:21" ht="14.25" x14ac:dyDescent="0.15">
      <c r="A14" s="265"/>
      <c r="B14" s="132"/>
      <c r="C14" s="132" t="s">
        <v>213</v>
      </c>
      <c r="D14" s="132"/>
      <c r="E14" s="56"/>
      <c r="F14" s="56"/>
      <c r="G14" s="132"/>
      <c r="H14" s="133">
        <v>0.1</v>
      </c>
      <c r="I14" s="132"/>
      <c r="J14" s="132" t="s">
        <v>213</v>
      </c>
      <c r="K14" s="133">
        <v>0.1</v>
      </c>
      <c r="L14" s="132"/>
      <c r="M14" s="132" t="s">
        <v>87</v>
      </c>
      <c r="N14" s="135">
        <v>10</v>
      </c>
      <c r="O14" s="134"/>
    </row>
    <row r="15" spans="1:21" ht="14.25" x14ac:dyDescent="0.15">
      <c r="A15" s="265"/>
      <c r="B15" s="132"/>
      <c r="C15" s="132" t="s">
        <v>87</v>
      </c>
      <c r="D15" s="132"/>
      <c r="E15" s="56"/>
      <c r="F15" s="56"/>
      <c r="G15" s="132"/>
      <c r="H15" s="135">
        <v>10</v>
      </c>
      <c r="I15" s="132"/>
      <c r="J15" s="132" t="s">
        <v>87</v>
      </c>
      <c r="K15" s="135">
        <v>10</v>
      </c>
      <c r="L15" s="132"/>
      <c r="M15" s="132" t="s">
        <v>56</v>
      </c>
      <c r="N15" s="135">
        <v>5</v>
      </c>
      <c r="O15" s="134"/>
    </row>
    <row r="16" spans="1:21" ht="14.25" x14ac:dyDescent="0.15">
      <c r="A16" s="265"/>
      <c r="B16" s="132"/>
      <c r="C16" s="132" t="s">
        <v>56</v>
      </c>
      <c r="D16" s="132"/>
      <c r="E16" s="56"/>
      <c r="F16" s="56"/>
      <c r="G16" s="132"/>
      <c r="H16" s="135">
        <v>10</v>
      </c>
      <c r="I16" s="132"/>
      <c r="J16" s="132" t="s">
        <v>56</v>
      </c>
      <c r="K16" s="135">
        <v>5</v>
      </c>
      <c r="L16" s="132"/>
      <c r="M16" s="132" t="s">
        <v>33</v>
      </c>
      <c r="N16" s="135">
        <v>5</v>
      </c>
      <c r="O16" s="134"/>
    </row>
    <row r="17" spans="1:15" ht="14.25" x14ac:dyDescent="0.15">
      <c r="A17" s="265"/>
      <c r="B17" s="132"/>
      <c r="C17" s="132" t="s">
        <v>33</v>
      </c>
      <c r="D17" s="132"/>
      <c r="E17" s="56"/>
      <c r="F17" s="56"/>
      <c r="G17" s="132"/>
      <c r="H17" s="135">
        <v>5</v>
      </c>
      <c r="I17" s="132"/>
      <c r="J17" s="132" t="s">
        <v>33</v>
      </c>
      <c r="K17" s="135">
        <v>5</v>
      </c>
      <c r="L17" s="129"/>
      <c r="M17" s="129"/>
      <c r="N17" s="130"/>
      <c r="O17" s="131"/>
    </row>
    <row r="18" spans="1:15" ht="14.25" x14ac:dyDescent="0.15">
      <c r="A18" s="265"/>
      <c r="B18" s="132"/>
      <c r="C18" s="132"/>
      <c r="D18" s="132"/>
      <c r="E18" s="56"/>
      <c r="F18" s="56"/>
      <c r="G18" s="132" t="s">
        <v>55</v>
      </c>
      <c r="H18" s="135" t="s">
        <v>354</v>
      </c>
      <c r="I18" s="132"/>
      <c r="J18" s="132"/>
      <c r="K18" s="135"/>
      <c r="L18" s="132" t="s">
        <v>412</v>
      </c>
      <c r="M18" s="132" t="s">
        <v>35</v>
      </c>
      <c r="N18" s="135">
        <v>5</v>
      </c>
      <c r="O18" s="134"/>
    </row>
    <row r="19" spans="1:15" ht="14.25" x14ac:dyDescent="0.15">
      <c r="A19" s="265"/>
      <c r="B19" s="132"/>
      <c r="C19" s="132"/>
      <c r="D19" s="132"/>
      <c r="E19" s="56"/>
      <c r="F19" s="56"/>
      <c r="G19" s="132" t="s">
        <v>41</v>
      </c>
      <c r="H19" s="135" t="s">
        <v>356</v>
      </c>
      <c r="I19" s="132"/>
      <c r="J19" s="132"/>
      <c r="K19" s="135"/>
      <c r="L19" s="132"/>
      <c r="M19" s="132" t="s">
        <v>32</v>
      </c>
      <c r="N19" s="135">
        <v>5</v>
      </c>
      <c r="O19" s="134"/>
    </row>
    <row r="20" spans="1:15" ht="14.25" x14ac:dyDescent="0.15">
      <c r="A20" s="265"/>
      <c r="B20" s="129"/>
      <c r="C20" s="129"/>
      <c r="D20" s="129"/>
      <c r="E20" s="62"/>
      <c r="F20" s="62"/>
      <c r="G20" s="129"/>
      <c r="H20" s="130"/>
      <c r="I20" s="129"/>
      <c r="J20" s="129"/>
      <c r="K20" s="130"/>
      <c r="L20" s="132"/>
      <c r="M20" s="132"/>
      <c r="N20" s="135"/>
      <c r="O20" s="134"/>
    </row>
    <row r="21" spans="1:15" ht="14.25" x14ac:dyDescent="0.15">
      <c r="A21" s="265"/>
      <c r="B21" s="132" t="s">
        <v>413</v>
      </c>
      <c r="C21" s="132" t="s">
        <v>35</v>
      </c>
      <c r="D21" s="132"/>
      <c r="E21" s="56"/>
      <c r="F21" s="56"/>
      <c r="G21" s="132"/>
      <c r="H21" s="135">
        <v>10</v>
      </c>
      <c r="I21" s="132" t="s">
        <v>413</v>
      </c>
      <c r="J21" s="132" t="s">
        <v>35</v>
      </c>
      <c r="K21" s="135">
        <v>10</v>
      </c>
      <c r="L21" s="132"/>
      <c r="M21" s="132"/>
      <c r="N21" s="135"/>
      <c r="O21" s="134"/>
    </row>
    <row r="22" spans="1:15" ht="14.25" x14ac:dyDescent="0.15">
      <c r="A22" s="265"/>
      <c r="B22" s="132"/>
      <c r="C22" s="132" t="s">
        <v>101</v>
      </c>
      <c r="D22" s="132"/>
      <c r="E22" s="56"/>
      <c r="F22" s="56"/>
      <c r="G22" s="132"/>
      <c r="H22" s="135">
        <v>10</v>
      </c>
      <c r="I22" s="132"/>
      <c r="J22" s="132" t="s">
        <v>101</v>
      </c>
      <c r="K22" s="135">
        <v>5</v>
      </c>
      <c r="L22" s="132"/>
      <c r="M22" s="132"/>
      <c r="N22" s="135"/>
      <c r="O22" s="134"/>
    </row>
    <row r="23" spans="1:15" ht="14.25" x14ac:dyDescent="0.15">
      <c r="A23" s="265"/>
      <c r="B23" s="129"/>
      <c r="C23" s="129"/>
      <c r="D23" s="129"/>
      <c r="E23" s="62"/>
      <c r="F23" s="145"/>
      <c r="G23" s="129"/>
      <c r="H23" s="130"/>
      <c r="I23" s="129"/>
      <c r="J23" s="129"/>
      <c r="K23" s="130"/>
      <c r="L23" s="132"/>
      <c r="M23" s="132"/>
      <c r="N23" s="135"/>
      <c r="O23" s="134"/>
    </row>
    <row r="24" spans="1:15" ht="14.25" x14ac:dyDescent="0.15">
      <c r="A24" s="265"/>
      <c r="B24" s="132" t="s">
        <v>43</v>
      </c>
      <c r="C24" s="132" t="s">
        <v>32</v>
      </c>
      <c r="D24" s="132"/>
      <c r="E24" s="56"/>
      <c r="F24" s="56"/>
      <c r="G24" s="132"/>
      <c r="H24" s="135">
        <v>10</v>
      </c>
      <c r="I24" s="132" t="s">
        <v>43</v>
      </c>
      <c r="J24" s="132" t="s">
        <v>32</v>
      </c>
      <c r="K24" s="135">
        <v>10</v>
      </c>
      <c r="L24" s="132"/>
      <c r="M24" s="132"/>
      <c r="N24" s="135"/>
      <c r="O24" s="134"/>
    </row>
    <row r="25" spans="1:15" ht="14.25" x14ac:dyDescent="0.15">
      <c r="A25" s="265"/>
      <c r="B25" s="132"/>
      <c r="C25" s="132" t="s">
        <v>36</v>
      </c>
      <c r="D25" s="132"/>
      <c r="E25" s="56" t="s">
        <v>37</v>
      </c>
      <c r="F25" s="56"/>
      <c r="G25" s="132"/>
      <c r="H25" s="138">
        <v>0.13</v>
      </c>
      <c r="I25" s="132"/>
      <c r="J25" s="132" t="s">
        <v>375</v>
      </c>
      <c r="K25" s="138">
        <v>0.13</v>
      </c>
      <c r="L25" s="132"/>
      <c r="M25" s="132"/>
      <c r="N25" s="135"/>
      <c r="O25" s="134"/>
    </row>
    <row r="26" spans="1:15" ht="14.25" x14ac:dyDescent="0.15">
      <c r="A26" s="265"/>
      <c r="B26" s="132"/>
      <c r="C26" s="132"/>
      <c r="D26" s="132"/>
      <c r="E26" s="56"/>
      <c r="F26" s="56"/>
      <c r="G26" s="132" t="s">
        <v>25</v>
      </c>
      <c r="H26" s="135" t="s">
        <v>354</v>
      </c>
      <c r="I26" s="132"/>
      <c r="J26" s="132"/>
      <c r="K26" s="135"/>
      <c r="L26" s="132"/>
      <c r="M26" s="132"/>
      <c r="N26" s="135"/>
      <c r="O26" s="134"/>
    </row>
    <row r="27" spans="1:15" ht="14.25" x14ac:dyDescent="0.15">
      <c r="A27" s="265"/>
      <c r="B27" s="132"/>
      <c r="C27" s="132"/>
      <c r="D27" s="132"/>
      <c r="E27" s="56"/>
      <c r="F27" s="56" t="s">
        <v>27</v>
      </c>
      <c r="G27" s="132" t="s">
        <v>26</v>
      </c>
      <c r="H27" s="135" t="s">
        <v>356</v>
      </c>
      <c r="I27" s="132"/>
      <c r="J27" s="132"/>
      <c r="K27" s="135"/>
      <c r="L27" s="132"/>
      <c r="M27" s="132"/>
      <c r="N27" s="135"/>
      <c r="O27" s="134"/>
    </row>
    <row r="28" spans="1:15" ht="14.25" x14ac:dyDescent="0.15">
      <c r="A28" s="265"/>
      <c r="B28" s="129"/>
      <c r="C28" s="129"/>
      <c r="D28" s="129"/>
      <c r="E28" s="62"/>
      <c r="F28" s="62"/>
      <c r="G28" s="129"/>
      <c r="H28" s="130"/>
      <c r="I28" s="129"/>
      <c r="J28" s="129"/>
      <c r="K28" s="130"/>
      <c r="L28" s="132"/>
      <c r="M28" s="132"/>
      <c r="N28" s="135"/>
      <c r="O28" s="134"/>
    </row>
    <row r="29" spans="1:15" ht="14.25" x14ac:dyDescent="0.15">
      <c r="A29" s="265"/>
      <c r="B29" s="132" t="s">
        <v>103</v>
      </c>
      <c r="C29" s="132" t="s">
        <v>104</v>
      </c>
      <c r="D29" s="132"/>
      <c r="E29" s="56"/>
      <c r="F29" s="56"/>
      <c r="G29" s="132"/>
      <c r="H29" s="133">
        <v>0.1</v>
      </c>
      <c r="I29" s="132" t="s">
        <v>103</v>
      </c>
      <c r="J29" s="132" t="s">
        <v>104</v>
      </c>
      <c r="K29" s="133">
        <v>0.1</v>
      </c>
      <c r="L29" s="132"/>
      <c r="M29" s="132"/>
      <c r="N29" s="135"/>
      <c r="O29" s="134"/>
    </row>
    <row r="30" spans="1:15" ht="15" thickBot="1" x14ac:dyDescent="0.2">
      <c r="A30" s="266"/>
      <c r="B30" s="139"/>
      <c r="C30" s="139"/>
      <c r="D30" s="139"/>
      <c r="E30" s="69"/>
      <c r="F30" s="69"/>
      <c r="G30" s="139"/>
      <c r="H30" s="140"/>
      <c r="I30" s="139"/>
      <c r="J30" s="139"/>
      <c r="K30" s="140"/>
      <c r="L30" s="139"/>
      <c r="M30" s="139"/>
      <c r="N30" s="140"/>
      <c r="O30" s="141"/>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sheetData>
  <mergeCells count="15">
    <mergeCell ref="L8:N8"/>
    <mergeCell ref="O8:O10"/>
    <mergeCell ref="I9:K9"/>
    <mergeCell ref="L9:N9"/>
    <mergeCell ref="A11:A30"/>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215</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23</v>
      </c>
      <c r="C10" s="48"/>
      <c r="D10" s="49"/>
      <c r="E10" s="54"/>
      <c r="F10" s="51"/>
      <c r="G10" s="84"/>
      <c r="H10" s="88"/>
      <c r="I10" s="49"/>
      <c r="J10" s="51"/>
      <c r="K10" s="51"/>
      <c r="L10" s="51"/>
      <c r="M10" s="51"/>
      <c r="N10" s="92"/>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64</v>
      </c>
      <c r="C12" s="55" t="s">
        <v>67</v>
      </c>
      <c r="D12" s="56"/>
      <c r="E12" s="96">
        <v>0.33333333333333331</v>
      </c>
      <c r="F12" s="58" t="s">
        <v>68</v>
      </c>
      <c r="G12" s="85"/>
      <c r="H12" s="89" t="s">
        <v>67</v>
      </c>
      <c r="I12" s="56"/>
      <c r="J12" s="58">
        <f>ROUNDUP(E12*0.75,2)</f>
        <v>0.25</v>
      </c>
      <c r="K12" s="58" t="s">
        <v>68</v>
      </c>
      <c r="L12" s="58"/>
      <c r="M12" s="58">
        <f>ROUNDUP((R5*E12)+(R6*J12)+(R7*(E12*2)),2)</f>
        <v>0</v>
      </c>
      <c r="N12" s="93">
        <f>M12</f>
        <v>0</v>
      </c>
      <c r="O12" s="81" t="s">
        <v>65</v>
      </c>
      <c r="P12" s="59" t="s">
        <v>30</v>
      </c>
      <c r="Q12" s="56"/>
      <c r="R12" s="60">
        <v>0.5</v>
      </c>
      <c r="S12" s="57">
        <f t="shared" ref="S12:S18" si="0">ROUNDUP(R12*0.75,2)</f>
        <v>0.38</v>
      </c>
      <c r="T12" s="77">
        <f>ROUNDUP((R5*R12)+(R6*S12)+(R7*(R12*2)),2)</f>
        <v>0</v>
      </c>
    </row>
    <row r="13" spans="1:21" ht="18.75" customHeight="1" x14ac:dyDescent="0.15">
      <c r="A13" s="242"/>
      <c r="B13" s="81"/>
      <c r="C13" s="55" t="s">
        <v>69</v>
      </c>
      <c r="D13" s="56"/>
      <c r="E13" s="57">
        <v>20</v>
      </c>
      <c r="F13" s="58" t="s">
        <v>29</v>
      </c>
      <c r="G13" s="85"/>
      <c r="H13" s="89" t="s">
        <v>69</v>
      </c>
      <c r="I13" s="56"/>
      <c r="J13" s="58">
        <f>ROUNDUP(E13*0.75,2)</f>
        <v>15</v>
      </c>
      <c r="K13" s="58" t="s">
        <v>29</v>
      </c>
      <c r="L13" s="58"/>
      <c r="M13" s="58">
        <f>ROUNDUP((R5*E13)+(R6*J13)+(R7*(E13*2)),2)</f>
        <v>0</v>
      </c>
      <c r="N13" s="93">
        <f>M13</f>
        <v>0</v>
      </c>
      <c r="O13" s="100" t="s">
        <v>327</v>
      </c>
      <c r="P13" s="59" t="s">
        <v>71</v>
      </c>
      <c r="Q13" s="56"/>
      <c r="R13" s="60">
        <v>2</v>
      </c>
      <c r="S13" s="57">
        <f t="shared" si="0"/>
        <v>1.5</v>
      </c>
      <c r="T13" s="77">
        <f>ROUNDUP((R5*R13)+(R6*S13)+(R7*(R13*2)),2)</f>
        <v>0</v>
      </c>
    </row>
    <row r="14" spans="1:21" ht="18.75" customHeight="1" x14ac:dyDescent="0.15">
      <c r="A14" s="242"/>
      <c r="B14" s="81"/>
      <c r="C14" s="55" t="s">
        <v>56</v>
      </c>
      <c r="D14" s="56"/>
      <c r="E14" s="57">
        <v>20</v>
      </c>
      <c r="F14" s="58" t="s">
        <v>29</v>
      </c>
      <c r="G14" s="85"/>
      <c r="H14" s="89" t="s">
        <v>56</v>
      </c>
      <c r="I14" s="56"/>
      <c r="J14" s="58">
        <f>ROUNDUP(E14*0.75,2)</f>
        <v>15</v>
      </c>
      <c r="K14" s="58" t="s">
        <v>29</v>
      </c>
      <c r="L14" s="58"/>
      <c r="M14" s="58">
        <f>ROUNDUP((R5*E14)+(R6*J14)+(R7*(E14*2)),2)</f>
        <v>0</v>
      </c>
      <c r="N14" s="93">
        <f>ROUND(M14+(M14*6/100),2)</f>
        <v>0</v>
      </c>
      <c r="O14" s="100" t="s">
        <v>328</v>
      </c>
      <c r="P14" s="59" t="s">
        <v>25</v>
      </c>
      <c r="Q14" s="56"/>
      <c r="R14" s="60">
        <v>15</v>
      </c>
      <c r="S14" s="57">
        <f t="shared" si="0"/>
        <v>11.25</v>
      </c>
      <c r="T14" s="77">
        <f>ROUNDUP((R5*R14)+(R6*S14)+(R7*(R14*2)),2)</f>
        <v>0</v>
      </c>
    </row>
    <row r="15" spans="1:21" ht="18.75" customHeight="1" x14ac:dyDescent="0.15">
      <c r="A15" s="242"/>
      <c r="B15" s="81"/>
      <c r="C15" s="55" t="s">
        <v>33</v>
      </c>
      <c r="D15" s="56"/>
      <c r="E15" s="57">
        <v>5</v>
      </c>
      <c r="F15" s="58" t="s">
        <v>29</v>
      </c>
      <c r="G15" s="85"/>
      <c r="H15" s="89" t="s">
        <v>33</v>
      </c>
      <c r="I15" s="56"/>
      <c r="J15" s="58">
        <f>ROUNDUP(E15*0.75,2)</f>
        <v>3.75</v>
      </c>
      <c r="K15" s="58" t="s">
        <v>29</v>
      </c>
      <c r="L15" s="58"/>
      <c r="M15" s="58">
        <f>ROUNDUP((R5*E15)+(R6*J15)+(R7*(E15*2)),2)</f>
        <v>0</v>
      </c>
      <c r="N15" s="93">
        <f>ROUND(M15+(M15*10/100),2)</f>
        <v>0</v>
      </c>
      <c r="O15" s="36" t="s">
        <v>294</v>
      </c>
      <c r="P15" s="59" t="s">
        <v>50</v>
      </c>
      <c r="Q15" s="56"/>
      <c r="R15" s="60">
        <v>0.5</v>
      </c>
      <c r="S15" s="57">
        <f t="shared" si="0"/>
        <v>0.38</v>
      </c>
      <c r="T15" s="77">
        <f>ROUNDUP((R5*R15)+(R6*S15)+(R7*(R15*2)),2)</f>
        <v>0</v>
      </c>
    </row>
    <row r="16" spans="1:21" ht="18.75" customHeight="1" x14ac:dyDescent="0.15">
      <c r="A16" s="242"/>
      <c r="B16" s="81"/>
      <c r="C16" s="55" t="s">
        <v>70</v>
      </c>
      <c r="D16" s="56"/>
      <c r="E16" s="57">
        <v>5</v>
      </c>
      <c r="F16" s="58" t="s">
        <v>29</v>
      </c>
      <c r="G16" s="85"/>
      <c r="H16" s="89" t="s">
        <v>70</v>
      </c>
      <c r="I16" s="56"/>
      <c r="J16" s="58">
        <f>ROUNDUP(E16*0.75,2)</f>
        <v>3.75</v>
      </c>
      <c r="K16" s="58" t="s">
        <v>29</v>
      </c>
      <c r="L16" s="58"/>
      <c r="M16" s="58">
        <f>ROUNDUP((R5*E16)+(R6*J16)+(R7*(E16*2)),2)</f>
        <v>0</v>
      </c>
      <c r="N16" s="93">
        <f>M16</f>
        <v>0</v>
      </c>
      <c r="O16" s="81" t="s">
        <v>66</v>
      </c>
      <c r="P16" s="59" t="s">
        <v>26</v>
      </c>
      <c r="Q16" s="56" t="s">
        <v>27</v>
      </c>
      <c r="R16" s="60">
        <v>1</v>
      </c>
      <c r="S16" s="57">
        <f t="shared" si="0"/>
        <v>0.75</v>
      </c>
      <c r="T16" s="77">
        <f>ROUNDUP((R5*R16)+(R6*S16)+(R7*(R16*2)),2)</f>
        <v>0</v>
      </c>
    </row>
    <row r="17" spans="1:20" ht="18.75" customHeight="1" x14ac:dyDescent="0.15">
      <c r="A17" s="242"/>
      <c r="B17" s="81"/>
      <c r="C17" s="55"/>
      <c r="D17" s="56"/>
      <c r="E17" s="57"/>
      <c r="F17" s="58"/>
      <c r="G17" s="85"/>
      <c r="H17" s="89"/>
      <c r="I17" s="56"/>
      <c r="J17" s="58"/>
      <c r="K17" s="58"/>
      <c r="L17" s="58"/>
      <c r="M17" s="58"/>
      <c r="N17" s="93"/>
      <c r="O17" s="81" t="s">
        <v>28</v>
      </c>
      <c r="P17" s="59" t="s">
        <v>34</v>
      </c>
      <c r="Q17" s="56"/>
      <c r="R17" s="60">
        <v>2</v>
      </c>
      <c r="S17" s="57">
        <f t="shared" si="0"/>
        <v>1.5</v>
      </c>
      <c r="T17" s="77">
        <f>ROUNDUP((R5*R17)+(R6*S17)+(R7*(R17*2)),2)</f>
        <v>0</v>
      </c>
    </row>
    <row r="18" spans="1:20" ht="18.75" customHeight="1" x14ac:dyDescent="0.15">
      <c r="A18" s="242"/>
      <c r="B18" s="81"/>
      <c r="C18" s="55"/>
      <c r="D18" s="56"/>
      <c r="E18" s="57"/>
      <c r="F18" s="58"/>
      <c r="G18" s="85"/>
      <c r="H18" s="89"/>
      <c r="I18" s="56"/>
      <c r="J18" s="58"/>
      <c r="K18" s="58"/>
      <c r="L18" s="58"/>
      <c r="M18" s="58"/>
      <c r="N18" s="93"/>
      <c r="O18" s="81"/>
      <c r="P18" s="59" t="s">
        <v>31</v>
      </c>
      <c r="Q18" s="56"/>
      <c r="R18" s="60">
        <v>1</v>
      </c>
      <c r="S18" s="57">
        <f t="shared" si="0"/>
        <v>0.75</v>
      </c>
      <c r="T18" s="77">
        <f>ROUNDUP((R5*R18)+(R6*S18)+(R7*(R18*2)),2)</f>
        <v>0</v>
      </c>
    </row>
    <row r="19" spans="1:20" ht="18.75" customHeight="1" x14ac:dyDescent="0.15">
      <c r="A19" s="242"/>
      <c r="B19" s="82"/>
      <c r="C19" s="61"/>
      <c r="D19" s="62"/>
      <c r="E19" s="63"/>
      <c r="F19" s="64"/>
      <c r="G19" s="86"/>
      <c r="H19" s="90"/>
      <c r="I19" s="62"/>
      <c r="J19" s="64"/>
      <c r="K19" s="64"/>
      <c r="L19" s="64"/>
      <c r="M19" s="64"/>
      <c r="N19" s="94"/>
      <c r="O19" s="82"/>
      <c r="P19" s="65"/>
      <c r="Q19" s="62"/>
      <c r="R19" s="66"/>
      <c r="S19" s="63"/>
      <c r="T19" s="78"/>
    </row>
    <row r="20" spans="1:20" ht="18.75" customHeight="1" x14ac:dyDescent="0.15">
      <c r="A20" s="242"/>
      <c r="B20" s="81" t="s">
        <v>239</v>
      </c>
      <c r="C20" s="55" t="s">
        <v>75</v>
      </c>
      <c r="D20" s="56"/>
      <c r="E20" s="97">
        <v>0.1</v>
      </c>
      <c r="F20" s="58" t="s">
        <v>24</v>
      </c>
      <c r="G20" s="85" t="s">
        <v>52</v>
      </c>
      <c r="H20" s="89" t="s">
        <v>75</v>
      </c>
      <c r="I20" s="56"/>
      <c r="J20" s="58">
        <f>ROUNDUP(E20*0.75,2)</f>
        <v>0.08</v>
      </c>
      <c r="K20" s="58" t="s">
        <v>24</v>
      </c>
      <c r="L20" s="58" t="s">
        <v>52</v>
      </c>
      <c r="M20" s="58">
        <f>ROUNDUP((R5*E20)+(R6*J20)+(R7*(E20*2)),2)</f>
        <v>0</v>
      </c>
      <c r="N20" s="93">
        <f>M20</f>
        <v>0</v>
      </c>
      <c r="O20" s="81" t="s">
        <v>72</v>
      </c>
      <c r="P20" s="59" t="s">
        <v>78</v>
      </c>
      <c r="Q20" s="56" t="s">
        <v>79</v>
      </c>
      <c r="R20" s="60">
        <v>4</v>
      </c>
      <c r="S20" s="57">
        <f>ROUNDUP(R20*0.75,2)</f>
        <v>3</v>
      </c>
      <c r="T20" s="77">
        <f>ROUNDUP((R5*R20)+(R6*S20)+(R7*(R20*2)),2)</f>
        <v>0</v>
      </c>
    </row>
    <row r="21" spans="1:20" ht="18.75" customHeight="1" x14ac:dyDescent="0.15">
      <c r="A21" s="242"/>
      <c r="B21" s="101" t="s">
        <v>240</v>
      </c>
      <c r="C21" s="55" t="s">
        <v>76</v>
      </c>
      <c r="D21" s="56"/>
      <c r="E21" s="57">
        <v>30</v>
      </c>
      <c r="F21" s="58" t="s">
        <v>29</v>
      </c>
      <c r="G21" s="85"/>
      <c r="H21" s="89" t="s">
        <v>76</v>
      </c>
      <c r="I21" s="56"/>
      <c r="J21" s="58">
        <f>ROUNDUP(E21*0.75,2)</f>
        <v>22.5</v>
      </c>
      <c r="K21" s="58" t="s">
        <v>29</v>
      </c>
      <c r="L21" s="58"/>
      <c r="M21" s="58">
        <f>ROUNDUP((R5*E21)+(R6*J21)+(R7*(E21*2)),2)</f>
        <v>0</v>
      </c>
      <c r="N21" s="93">
        <f>ROUND(M21+(M21*6/100),2)</f>
        <v>0</v>
      </c>
      <c r="O21" s="81" t="s">
        <v>73</v>
      </c>
      <c r="P21" s="59" t="s">
        <v>50</v>
      </c>
      <c r="Q21" s="56"/>
      <c r="R21" s="60">
        <v>0.3</v>
      </c>
      <c r="S21" s="57">
        <f>ROUNDUP(R21*0.75,2)</f>
        <v>0.23</v>
      </c>
      <c r="T21" s="77">
        <f>ROUNDUP((R5*R21)+(R6*S21)+(R7*(R21*2)),2)</f>
        <v>0</v>
      </c>
    </row>
    <row r="22" spans="1:20" ht="18.75" customHeight="1" x14ac:dyDescent="0.15">
      <c r="A22" s="242"/>
      <c r="B22" s="81"/>
      <c r="C22" s="55" t="s">
        <v>77</v>
      </c>
      <c r="D22" s="56"/>
      <c r="E22" s="57">
        <v>10</v>
      </c>
      <c r="F22" s="58" t="s">
        <v>29</v>
      </c>
      <c r="G22" s="85"/>
      <c r="H22" s="89" t="s">
        <v>77</v>
      </c>
      <c r="I22" s="56"/>
      <c r="J22" s="58">
        <f>ROUNDUP(E22*0.75,2)</f>
        <v>7.5</v>
      </c>
      <c r="K22" s="58" t="s">
        <v>29</v>
      </c>
      <c r="L22" s="58"/>
      <c r="M22" s="58">
        <f>ROUNDUP((R5*E22)+(R6*J22)+(R7*(E22*2)),2)</f>
        <v>0</v>
      </c>
      <c r="N22" s="93">
        <f>M22</f>
        <v>0</v>
      </c>
      <c r="O22" s="81" t="s">
        <v>74</v>
      </c>
      <c r="P22" s="59" t="s">
        <v>26</v>
      </c>
      <c r="Q22" s="56" t="s">
        <v>27</v>
      </c>
      <c r="R22" s="60">
        <v>0.3</v>
      </c>
      <c r="S22" s="57">
        <f>ROUNDUP(R22*0.75,2)</f>
        <v>0.23</v>
      </c>
      <c r="T22" s="77">
        <f>ROUNDUP((R5*R22)+(R6*S22)+(R7*(R22*2)),2)</f>
        <v>0</v>
      </c>
    </row>
    <row r="23" spans="1:20" ht="18.75" customHeight="1" x14ac:dyDescent="0.15">
      <c r="A23" s="242"/>
      <c r="B23" s="81"/>
      <c r="C23" s="55"/>
      <c r="D23" s="56"/>
      <c r="E23" s="57"/>
      <c r="F23" s="58"/>
      <c r="G23" s="85"/>
      <c r="H23" s="89"/>
      <c r="I23" s="56"/>
      <c r="J23" s="58"/>
      <c r="K23" s="58"/>
      <c r="L23" s="58"/>
      <c r="M23" s="58"/>
      <c r="N23" s="93"/>
      <c r="O23" s="81" t="s">
        <v>28</v>
      </c>
      <c r="P23" s="59"/>
      <c r="Q23" s="56"/>
      <c r="R23" s="60"/>
      <c r="S23" s="57"/>
      <c r="T23" s="77"/>
    </row>
    <row r="24" spans="1:20" ht="18.75" customHeight="1" x14ac:dyDescent="0.15">
      <c r="A24" s="242"/>
      <c r="B24" s="82"/>
      <c r="C24" s="61"/>
      <c r="D24" s="62"/>
      <c r="E24" s="63"/>
      <c r="F24" s="64"/>
      <c r="G24" s="86"/>
      <c r="H24" s="90"/>
      <c r="I24" s="62"/>
      <c r="J24" s="64"/>
      <c r="K24" s="64"/>
      <c r="L24" s="64"/>
      <c r="M24" s="64"/>
      <c r="N24" s="94"/>
      <c r="O24" s="82"/>
      <c r="P24" s="65"/>
      <c r="Q24" s="62"/>
      <c r="R24" s="66"/>
      <c r="S24" s="63"/>
      <c r="T24" s="78"/>
    </row>
    <row r="25" spans="1:20" ht="18.75" customHeight="1" x14ac:dyDescent="0.15">
      <c r="A25" s="242"/>
      <c r="B25" s="81" t="s">
        <v>58</v>
      </c>
      <c r="C25" s="55" t="s">
        <v>80</v>
      </c>
      <c r="D25" s="56"/>
      <c r="E25" s="57">
        <v>20</v>
      </c>
      <c r="F25" s="58" t="s">
        <v>29</v>
      </c>
      <c r="G25" s="85"/>
      <c r="H25" s="89" t="s">
        <v>80</v>
      </c>
      <c r="I25" s="56"/>
      <c r="J25" s="58">
        <f>ROUNDUP(E25*0.75,2)</f>
        <v>15</v>
      </c>
      <c r="K25" s="58" t="s">
        <v>29</v>
      </c>
      <c r="L25" s="58"/>
      <c r="M25" s="58">
        <f>ROUNDUP((R5*E25)+(R6*J25)+(R7*(E25*2)),2)</f>
        <v>0</v>
      </c>
      <c r="N25" s="93">
        <f>M25</f>
        <v>0</v>
      </c>
      <c r="O25" s="81" t="s">
        <v>28</v>
      </c>
      <c r="P25" s="59" t="s">
        <v>25</v>
      </c>
      <c r="Q25" s="56"/>
      <c r="R25" s="60">
        <v>100</v>
      </c>
      <c r="S25" s="57">
        <f>ROUNDUP(R25*0.75,2)</f>
        <v>75</v>
      </c>
      <c r="T25" s="77">
        <f>ROUNDUP((R5*R25)+(R6*S25)+(R7*(R25*2)),2)</f>
        <v>0</v>
      </c>
    </row>
    <row r="26" spans="1:20" ht="18.75" customHeight="1" x14ac:dyDescent="0.15">
      <c r="A26" s="242"/>
      <c r="B26" s="81"/>
      <c r="C26" s="55" t="s">
        <v>81</v>
      </c>
      <c r="D26" s="56"/>
      <c r="E26" s="57">
        <v>5</v>
      </c>
      <c r="F26" s="58" t="s">
        <v>29</v>
      </c>
      <c r="G26" s="85"/>
      <c r="H26" s="89" t="s">
        <v>81</v>
      </c>
      <c r="I26" s="56"/>
      <c r="J26" s="58">
        <f>ROUNDUP(E26*0.75,2)</f>
        <v>3.75</v>
      </c>
      <c r="K26" s="58" t="s">
        <v>29</v>
      </c>
      <c r="L26" s="58"/>
      <c r="M26" s="58">
        <f>ROUNDUP((R5*E26)+(R6*J26)+(R7*(E26*2)),2)</f>
        <v>0</v>
      </c>
      <c r="N26" s="93">
        <f>ROUND(M26+(M26*10/100),2)</f>
        <v>0</v>
      </c>
      <c r="O26" s="81"/>
      <c r="P26" s="59" t="s">
        <v>59</v>
      </c>
      <c r="Q26" s="56"/>
      <c r="R26" s="60">
        <v>3</v>
      </c>
      <c r="S26" s="57">
        <f>ROUNDUP(R26*0.75,2)</f>
        <v>2.25</v>
      </c>
      <c r="T26" s="77">
        <f>ROUNDUP((R5*R26)+(R6*S26)+(R7*(R26*2)),2)</f>
        <v>0</v>
      </c>
    </row>
    <row r="27" spans="1:20" ht="18.75" customHeight="1" x14ac:dyDescent="0.15">
      <c r="A27" s="242"/>
      <c r="B27" s="82"/>
      <c r="C27" s="61"/>
      <c r="D27" s="62"/>
      <c r="E27" s="63"/>
      <c r="F27" s="64"/>
      <c r="G27" s="86"/>
      <c r="H27" s="90"/>
      <c r="I27" s="62"/>
      <c r="J27" s="64"/>
      <c r="K27" s="64"/>
      <c r="L27" s="64"/>
      <c r="M27" s="64"/>
      <c r="N27" s="94"/>
      <c r="O27" s="82"/>
      <c r="P27" s="65"/>
      <c r="Q27" s="62"/>
      <c r="R27" s="66"/>
      <c r="S27" s="63"/>
      <c r="T27" s="78"/>
    </row>
    <row r="28" spans="1:20" ht="18.75" customHeight="1" x14ac:dyDescent="0.15">
      <c r="A28" s="242"/>
      <c r="B28" s="81" t="s">
        <v>82</v>
      </c>
      <c r="C28" s="55" t="s">
        <v>83</v>
      </c>
      <c r="D28" s="56"/>
      <c r="E28" s="98">
        <v>0.16666666666666666</v>
      </c>
      <c r="F28" s="58" t="s">
        <v>38</v>
      </c>
      <c r="G28" s="85"/>
      <c r="H28" s="89" t="s">
        <v>83</v>
      </c>
      <c r="I28" s="56"/>
      <c r="J28" s="58">
        <f>ROUNDUP(E28*0.75,2)</f>
        <v>0.13</v>
      </c>
      <c r="K28" s="58" t="s">
        <v>38</v>
      </c>
      <c r="L28" s="58"/>
      <c r="M28" s="58">
        <f>ROUNDUP((R5*E28)+(R6*J28)+(R7*(E28*2)),2)</f>
        <v>0</v>
      </c>
      <c r="N28" s="93">
        <f>M28</f>
        <v>0</v>
      </c>
      <c r="O28" s="81" t="s">
        <v>61</v>
      </c>
      <c r="P28" s="59"/>
      <c r="Q28" s="56"/>
      <c r="R28" s="60"/>
      <c r="S28" s="57"/>
      <c r="T28" s="77"/>
    </row>
    <row r="29" spans="1:20" ht="18.75" customHeight="1" thickBot="1" x14ac:dyDescent="0.2">
      <c r="A29" s="243"/>
      <c r="B29" s="83"/>
      <c r="C29" s="68"/>
      <c r="D29" s="69"/>
      <c r="E29" s="70"/>
      <c r="F29" s="71"/>
      <c r="G29" s="87"/>
      <c r="H29" s="91"/>
      <c r="I29" s="69"/>
      <c r="J29" s="71"/>
      <c r="K29" s="71"/>
      <c r="L29" s="71"/>
      <c r="M29" s="71"/>
      <c r="N29" s="95"/>
      <c r="O29" s="83"/>
      <c r="P29" s="72"/>
      <c r="Q29" s="69"/>
      <c r="R29" s="73"/>
      <c r="S29" s="70"/>
      <c r="T29" s="79"/>
    </row>
  </sheetData>
  <mergeCells count="5">
    <mergeCell ref="H1:O1"/>
    <mergeCell ref="A2:T2"/>
    <mergeCell ref="Q3:T3"/>
    <mergeCell ref="A8:F8"/>
    <mergeCell ref="A10:A29"/>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414</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350</v>
      </c>
      <c r="C13" s="132" t="s">
        <v>67</v>
      </c>
      <c r="D13" s="132"/>
      <c r="E13" s="56"/>
      <c r="F13" s="56"/>
      <c r="G13" s="132"/>
      <c r="H13" s="133">
        <v>0.1</v>
      </c>
      <c r="I13" s="132" t="s">
        <v>351</v>
      </c>
      <c r="J13" s="132" t="s">
        <v>67</v>
      </c>
      <c r="K13" s="133">
        <v>0.1</v>
      </c>
      <c r="L13" s="132" t="s">
        <v>352</v>
      </c>
      <c r="M13" s="132" t="s">
        <v>67</v>
      </c>
      <c r="N13" s="133">
        <v>0.1</v>
      </c>
      <c r="O13" s="134"/>
    </row>
    <row r="14" spans="1:21" ht="14.25" x14ac:dyDescent="0.15">
      <c r="A14" s="265"/>
      <c r="B14" s="132"/>
      <c r="C14" s="132" t="s">
        <v>69</v>
      </c>
      <c r="D14" s="132"/>
      <c r="E14" s="56"/>
      <c r="F14" s="56"/>
      <c r="G14" s="132"/>
      <c r="H14" s="135">
        <v>10</v>
      </c>
      <c r="I14" s="132"/>
      <c r="J14" s="136" t="s">
        <v>353</v>
      </c>
      <c r="K14" s="135">
        <v>5</v>
      </c>
      <c r="L14" s="132"/>
      <c r="M14" s="132" t="s">
        <v>56</v>
      </c>
      <c r="N14" s="135">
        <v>10</v>
      </c>
      <c r="O14" s="134"/>
    </row>
    <row r="15" spans="1:21" ht="14.25" x14ac:dyDescent="0.15">
      <c r="A15" s="265"/>
      <c r="B15" s="132"/>
      <c r="C15" s="132" t="s">
        <v>56</v>
      </c>
      <c r="D15" s="132"/>
      <c r="E15" s="56"/>
      <c r="F15" s="56"/>
      <c r="G15" s="132"/>
      <c r="H15" s="135">
        <v>10</v>
      </c>
      <c r="I15" s="132"/>
      <c r="J15" s="132" t="s">
        <v>56</v>
      </c>
      <c r="K15" s="135">
        <v>10</v>
      </c>
      <c r="L15" s="132"/>
      <c r="M15" s="132" t="s">
        <v>33</v>
      </c>
      <c r="N15" s="135">
        <v>5</v>
      </c>
      <c r="O15" s="134"/>
    </row>
    <row r="16" spans="1:21" ht="14.25" x14ac:dyDescent="0.15">
      <c r="A16" s="265"/>
      <c r="B16" s="132"/>
      <c r="C16" s="132" t="s">
        <v>33</v>
      </c>
      <c r="D16" s="132"/>
      <c r="E16" s="56"/>
      <c r="F16" s="56"/>
      <c r="G16" s="132"/>
      <c r="H16" s="135">
        <v>5</v>
      </c>
      <c r="I16" s="132"/>
      <c r="J16" s="132" t="s">
        <v>33</v>
      </c>
      <c r="K16" s="135">
        <v>5</v>
      </c>
      <c r="L16" s="132"/>
      <c r="M16" s="132" t="s">
        <v>70</v>
      </c>
      <c r="N16" s="135">
        <v>5</v>
      </c>
      <c r="O16" s="134"/>
    </row>
    <row r="17" spans="1:15" ht="14.25" x14ac:dyDescent="0.15">
      <c r="A17" s="265"/>
      <c r="B17" s="132"/>
      <c r="C17" s="132" t="s">
        <v>70</v>
      </c>
      <c r="D17" s="132"/>
      <c r="E17" s="56"/>
      <c r="F17" s="56"/>
      <c r="G17" s="132"/>
      <c r="H17" s="135">
        <v>5</v>
      </c>
      <c r="I17" s="132"/>
      <c r="J17" s="132" t="s">
        <v>70</v>
      </c>
      <c r="K17" s="135">
        <v>5</v>
      </c>
      <c r="L17" s="129"/>
      <c r="M17" s="129"/>
      <c r="N17" s="130"/>
      <c r="O17" s="131"/>
    </row>
    <row r="18" spans="1:15" ht="14.25" x14ac:dyDescent="0.15">
      <c r="A18" s="265"/>
      <c r="B18" s="132"/>
      <c r="C18" s="132"/>
      <c r="D18" s="132"/>
      <c r="E18" s="56"/>
      <c r="F18" s="56"/>
      <c r="G18" s="132" t="s">
        <v>25</v>
      </c>
      <c r="H18" s="135" t="s">
        <v>354</v>
      </c>
      <c r="I18" s="132"/>
      <c r="J18" s="132"/>
      <c r="K18" s="135"/>
      <c r="L18" s="132" t="s">
        <v>355</v>
      </c>
      <c r="M18" s="132" t="s">
        <v>76</v>
      </c>
      <c r="N18" s="135">
        <v>5</v>
      </c>
      <c r="O18" s="134"/>
    </row>
    <row r="19" spans="1:15" ht="14.25" x14ac:dyDescent="0.15">
      <c r="A19" s="265"/>
      <c r="B19" s="132"/>
      <c r="C19" s="132"/>
      <c r="D19" s="132"/>
      <c r="E19" s="56"/>
      <c r="F19" s="56"/>
      <c r="G19" s="132" t="s">
        <v>50</v>
      </c>
      <c r="H19" s="135" t="s">
        <v>356</v>
      </c>
      <c r="I19" s="132"/>
      <c r="J19" s="132"/>
      <c r="K19" s="135"/>
      <c r="L19" s="132"/>
      <c r="M19" s="132" t="s">
        <v>80</v>
      </c>
      <c r="N19" s="135">
        <v>5</v>
      </c>
      <c r="O19" s="134"/>
    </row>
    <row r="20" spans="1:15" ht="14.25" x14ac:dyDescent="0.15">
      <c r="A20" s="265"/>
      <c r="B20" s="132"/>
      <c r="C20" s="132"/>
      <c r="D20" s="132"/>
      <c r="E20" s="56"/>
      <c r="F20" s="56" t="s">
        <v>27</v>
      </c>
      <c r="G20" s="132" t="s">
        <v>26</v>
      </c>
      <c r="H20" s="135" t="s">
        <v>356</v>
      </c>
      <c r="I20" s="132"/>
      <c r="J20" s="132"/>
      <c r="K20" s="135"/>
      <c r="L20" s="129"/>
      <c r="M20" s="129"/>
      <c r="N20" s="130"/>
      <c r="O20" s="131"/>
    </row>
    <row r="21" spans="1:15" ht="14.25" x14ac:dyDescent="0.15">
      <c r="A21" s="265"/>
      <c r="B21" s="132"/>
      <c r="C21" s="132"/>
      <c r="D21" s="132"/>
      <c r="E21" s="56"/>
      <c r="F21" s="56"/>
      <c r="G21" s="132" t="s">
        <v>31</v>
      </c>
      <c r="H21" s="135" t="s">
        <v>356</v>
      </c>
      <c r="I21" s="132"/>
      <c r="J21" s="132"/>
      <c r="K21" s="135"/>
      <c r="L21" s="132" t="s">
        <v>82</v>
      </c>
      <c r="M21" s="132" t="s">
        <v>83</v>
      </c>
      <c r="N21" s="133">
        <v>0.1</v>
      </c>
      <c r="O21" s="134"/>
    </row>
    <row r="22" spans="1:15" ht="14.25" x14ac:dyDescent="0.15">
      <c r="A22" s="265"/>
      <c r="B22" s="129"/>
      <c r="C22" s="129"/>
      <c r="D22" s="129"/>
      <c r="E22" s="62"/>
      <c r="F22" s="62"/>
      <c r="G22" s="129"/>
      <c r="H22" s="130"/>
      <c r="I22" s="129"/>
      <c r="J22" s="129"/>
      <c r="K22" s="130"/>
      <c r="L22" s="132"/>
      <c r="M22" s="132"/>
      <c r="N22" s="135"/>
      <c r="O22" s="134"/>
    </row>
    <row r="23" spans="1:15" ht="14.25" x14ac:dyDescent="0.15">
      <c r="A23" s="265"/>
      <c r="B23" s="132" t="s">
        <v>357</v>
      </c>
      <c r="C23" s="132" t="s">
        <v>76</v>
      </c>
      <c r="D23" s="132"/>
      <c r="E23" s="56"/>
      <c r="F23" s="137"/>
      <c r="G23" s="132"/>
      <c r="H23" s="135">
        <v>20</v>
      </c>
      <c r="I23" s="132" t="s">
        <v>357</v>
      </c>
      <c r="J23" s="132" t="s">
        <v>76</v>
      </c>
      <c r="K23" s="135">
        <v>10</v>
      </c>
      <c r="L23" s="132"/>
      <c r="M23" s="132"/>
      <c r="N23" s="135"/>
      <c r="O23" s="134"/>
    </row>
    <row r="24" spans="1:15" ht="14.25" x14ac:dyDescent="0.15">
      <c r="A24" s="265"/>
      <c r="B24" s="129"/>
      <c r="C24" s="129"/>
      <c r="D24" s="129"/>
      <c r="E24" s="62"/>
      <c r="F24" s="62"/>
      <c r="G24" s="129"/>
      <c r="H24" s="130"/>
      <c r="I24" s="129"/>
      <c r="J24" s="129"/>
      <c r="K24" s="130"/>
      <c r="L24" s="132"/>
      <c r="M24" s="132"/>
      <c r="N24" s="135"/>
      <c r="O24" s="134"/>
    </row>
    <row r="25" spans="1:15" ht="14.25" x14ac:dyDescent="0.15">
      <c r="A25" s="265"/>
      <c r="B25" s="132" t="s">
        <v>58</v>
      </c>
      <c r="C25" s="132" t="s">
        <v>80</v>
      </c>
      <c r="D25" s="132"/>
      <c r="E25" s="56"/>
      <c r="F25" s="56"/>
      <c r="G25" s="132"/>
      <c r="H25" s="135">
        <v>10</v>
      </c>
      <c r="I25" s="132" t="s">
        <v>58</v>
      </c>
      <c r="J25" s="132" t="s">
        <v>80</v>
      </c>
      <c r="K25" s="135">
        <v>10</v>
      </c>
      <c r="L25" s="132"/>
      <c r="M25" s="132"/>
      <c r="N25" s="135"/>
      <c r="O25" s="134"/>
    </row>
    <row r="26" spans="1:15" ht="14.25" x14ac:dyDescent="0.15">
      <c r="A26" s="265"/>
      <c r="B26" s="132"/>
      <c r="C26" s="132" t="s">
        <v>81</v>
      </c>
      <c r="D26" s="132"/>
      <c r="E26" s="56"/>
      <c r="F26" s="56"/>
      <c r="G26" s="132"/>
      <c r="H26" s="135">
        <v>5</v>
      </c>
      <c r="I26" s="132"/>
      <c r="J26" s="132"/>
      <c r="K26" s="135"/>
      <c r="L26" s="132"/>
      <c r="M26" s="132"/>
      <c r="N26" s="135"/>
      <c r="O26" s="134"/>
    </row>
    <row r="27" spans="1:15" ht="14.25" x14ac:dyDescent="0.15">
      <c r="A27" s="265"/>
      <c r="B27" s="132"/>
      <c r="C27" s="132"/>
      <c r="D27" s="132"/>
      <c r="E27" s="56"/>
      <c r="F27" s="56"/>
      <c r="G27" s="132" t="s">
        <v>25</v>
      </c>
      <c r="H27" s="135" t="s">
        <v>354</v>
      </c>
      <c r="I27" s="132"/>
      <c r="J27" s="132"/>
      <c r="K27" s="135"/>
      <c r="L27" s="132"/>
      <c r="M27" s="132"/>
      <c r="N27" s="135"/>
      <c r="O27" s="134"/>
    </row>
    <row r="28" spans="1:15" ht="14.25" x14ac:dyDescent="0.15">
      <c r="A28" s="265"/>
      <c r="B28" s="132"/>
      <c r="C28" s="132"/>
      <c r="D28" s="132"/>
      <c r="E28" s="56"/>
      <c r="F28" s="56"/>
      <c r="G28" s="132" t="s">
        <v>59</v>
      </c>
      <c r="H28" s="135" t="s">
        <v>356</v>
      </c>
      <c r="I28" s="129"/>
      <c r="J28" s="129"/>
      <c r="K28" s="130"/>
      <c r="L28" s="132"/>
      <c r="M28" s="132"/>
      <c r="N28" s="135"/>
      <c r="O28" s="134"/>
    </row>
    <row r="29" spans="1:15" ht="14.25" x14ac:dyDescent="0.15">
      <c r="A29" s="265"/>
      <c r="B29" s="129"/>
      <c r="C29" s="129"/>
      <c r="D29" s="129"/>
      <c r="E29" s="62"/>
      <c r="F29" s="62"/>
      <c r="G29" s="129"/>
      <c r="H29" s="130"/>
      <c r="I29" s="132" t="s">
        <v>82</v>
      </c>
      <c r="J29" s="132" t="s">
        <v>83</v>
      </c>
      <c r="K29" s="138">
        <v>0.13</v>
      </c>
      <c r="L29" s="132"/>
      <c r="M29" s="132"/>
      <c r="N29" s="135"/>
      <c r="O29" s="134"/>
    </row>
    <row r="30" spans="1:15" ht="14.25" x14ac:dyDescent="0.15">
      <c r="A30" s="265"/>
      <c r="B30" s="132" t="s">
        <v>82</v>
      </c>
      <c r="C30" s="132" t="s">
        <v>83</v>
      </c>
      <c r="D30" s="132"/>
      <c r="E30" s="56"/>
      <c r="F30" s="56"/>
      <c r="G30" s="132"/>
      <c r="H30" s="138">
        <v>0.13</v>
      </c>
      <c r="I30" s="132"/>
      <c r="J30" s="132"/>
      <c r="K30" s="135"/>
      <c r="L30" s="132"/>
      <c r="M30" s="132"/>
      <c r="N30" s="135"/>
      <c r="O30" s="134"/>
    </row>
    <row r="31" spans="1:15" ht="15" thickBot="1" x14ac:dyDescent="0.2">
      <c r="A31" s="266"/>
      <c r="B31" s="139"/>
      <c r="C31" s="139"/>
      <c r="D31" s="139"/>
      <c r="E31" s="69"/>
      <c r="F31" s="69"/>
      <c r="G31" s="139"/>
      <c r="H31" s="140"/>
      <c r="I31" s="139"/>
      <c r="J31" s="139"/>
      <c r="K31" s="140"/>
      <c r="L31" s="139"/>
      <c r="M31" s="139"/>
      <c r="N31" s="140"/>
      <c r="O31" s="141"/>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sheetData>
  <mergeCells count="15">
    <mergeCell ref="L8:N8"/>
    <mergeCell ref="O8:O10"/>
    <mergeCell ref="I9:K9"/>
    <mergeCell ref="L9:N9"/>
    <mergeCell ref="A11:A31"/>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216</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91</v>
      </c>
      <c r="C10" s="48" t="s">
        <v>69</v>
      </c>
      <c r="D10" s="49"/>
      <c r="E10" s="54">
        <v>30</v>
      </c>
      <c r="F10" s="51" t="s">
        <v>29</v>
      </c>
      <c r="G10" s="84"/>
      <c r="H10" s="88" t="s">
        <v>69</v>
      </c>
      <c r="I10" s="49"/>
      <c r="J10" s="51">
        <f t="shared" ref="J10:J15" si="0">ROUNDUP(E10*0.75,2)</f>
        <v>22.5</v>
      </c>
      <c r="K10" s="51" t="s">
        <v>29</v>
      </c>
      <c r="L10" s="51"/>
      <c r="M10" s="51">
        <f>ROUNDUP((R5*E10)+(R6*J10)+(R7*(E10*2)),2)</f>
        <v>0</v>
      </c>
      <c r="N10" s="92">
        <f>M10</f>
        <v>0</v>
      </c>
      <c r="O10" s="80" t="s">
        <v>92</v>
      </c>
      <c r="P10" s="52" t="s">
        <v>23</v>
      </c>
      <c r="Q10" s="49"/>
      <c r="R10" s="53">
        <v>110</v>
      </c>
      <c r="S10" s="54">
        <f t="shared" ref="S10:S15" si="1">ROUNDUP(R10*0.75,2)</f>
        <v>82.5</v>
      </c>
      <c r="T10" s="76">
        <f>ROUNDUP((R5*R10)+(R6*S10)+(R7*(R10*2)),2)</f>
        <v>0</v>
      </c>
    </row>
    <row r="11" spans="1:21" ht="18.75" customHeight="1" x14ac:dyDescent="0.15">
      <c r="A11" s="242"/>
      <c r="B11" s="81"/>
      <c r="C11" s="55" t="s">
        <v>56</v>
      </c>
      <c r="D11" s="56"/>
      <c r="E11" s="57">
        <v>30</v>
      </c>
      <c r="F11" s="58" t="s">
        <v>29</v>
      </c>
      <c r="G11" s="85"/>
      <c r="H11" s="89" t="s">
        <v>56</v>
      </c>
      <c r="I11" s="56"/>
      <c r="J11" s="58">
        <f t="shared" si="0"/>
        <v>22.5</v>
      </c>
      <c r="K11" s="58" t="s">
        <v>29</v>
      </c>
      <c r="L11" s="58"/>
      <c r="M11" s="58">
        <f>ROUNDUP((R5*E11)+(R6*J11)+(R7*(E11*2)),2)</f>
        <v>0</v>
      </c>
      <c r="N11" s="93">
        <f>ROUND(M11+(M11*6/100),2)</f>
        <v>0</v>
      </c>
      <c r="O11" s="81" t="s">
        <v>93</v>
      </c>
      <c r="P11" s="59" t="s">
        <v>30</v>
      </c>
      <c r="Q11" s="56"/>
      <c r="R11" s="60">
        <v>0.5</v>
      </c>
      <c r="S11" s="57">
        <f t="shared" si="1"/>
        <v>0.38</v>
      </c>
      <c r="T11" s="77">
        <f>ROUNDUP((R5*R11)+(R6*S11)+(R7*(R11*2)),2)</f>
        <v>0</v>
      </c>
    </row>
    <row r="12" spans="1:21" ht="18.75" customHeight="1" x14ac:dyDescent="0.15">
      <c r="A12" s="242"/>
      <c r="B12" s="81"/>
      <c r="C12" s="55" t="s">
        <v>96</v>
      </c>
      <c r="D12" s="56"/>
      <c r="E12" s="57">
        <v>40</v>
      </c>
      <c r="F12" s="58" t="s">
        <v>29</v>
      </c>
      <c r="G12" s="85"/>
      <c r="H12" s="89" t="s">
        <v>96</v>
      </c>
      <c r="I12" s="56"/>
      <c r="J12" s="58">
        <f t="shared" si="0"/>
        <v>30</v>
      </c>
      <c r="K12" s="58" t="s">
        <v>29</v>
      </c>
      <c r="L12" s="58"/>
      <c r="M12" s="58">
        <f>ROUNDUP((R5*E12)+(R6*J12)+(R7*(E12*2)),2)</f>
        <v>0</v>
      </c>
      <c r="N12" s="93">
        <f>ROUND(M12+(M12*10/100),2)</f>
        <v>0</v>
      </c>
      <c r="O12" s="81" t="s">
        <v>94</v>
      </c>
      <c r="P12" s="59" t="s">
        <v>54</v>
      </c>
      <c r="Q12" s="56"/>
      <c r="R12" s="60">
        <v>2</v>
      </c>
      <c r="S12" s="57">
        <f t="shared" si="1"/>
        <v>1.5</v>
      </c>
      <c r="T12" s="77">
        <f>ROUNDUP((R5*R12)+(R6*S12)+(R7*(R12*2)),2)</f>
        <v>0</v>
      </c>
    </row>
    <row r="13" spans="1:21" ht="18.75" customHeight="1" x14ac:dyDescent="0.15">
      <c r="A13" s="242"/>
      <c r="B13" s="81"/>
      <c r="C13" s="55" t="s">
        <v>33</v>
      </c>
      <c r="D13" s="56"/>
      <c r="E13" s="57">
        <v>10</v>
      </c>
      <c r="F13" s="58" t="s">
        <v>29</v>
      </c>
      <c r="G13" s="85"/>
      <c r="H13" s="89" t="s">
        <v>33</v>
      </c>
      <c r="I13" s="56"/>
      <c r="J13" s="58">
        <f t="shared" si="0"/>
        <v>7.5</v>
      </c>
      <c r="K13" s="58" t="s">
        <v>29</v>
      </c>
      <c r="L13" s="58"/>
      <c r="M13" s="58">
        <f>ROUNDUP((R5*E13)+(R6*J13)+(R7*(E13*2)),2)</f>
        <v>0</v>
      </c>
      <c r="N13" s="93">
        <f>ROUND(M13+(M13*10/100),2)</f>
        <v>0</v>
      </c>
      <c r="O13" s="81" t="s">
        <v>95</v>
      </c>
      <c r="P13" s="59" t="s">
        <v>55</v>
      </c>
      <c r="Q13" s="56"/>
      <c r="R13" s="60">
        <v>40</v>
      </c>
      <c r="S13" s="57">
        <f t="shared" si="1"/>
        <v>30</v>
      </c>
      <c r="T13" s="77">
        <f>ROUNDUP((R5*R13)+(R6*S13)+(R7*(R13*2)),2)</f>
        <v>0</v>
      </c>
    </row>
    <row r="14" spans="1:21" ht="18.75" customHeight="1" x14ac:dyDescent="0.15">
      <c r="A14" s="242"/>
      <c r="B14" s="81"/>
      <c r="C14" s="55" t="s">
        <v>47</v>
      </c>
      <c r="D14" s="56" t="s">
        <v>40</v>
      </c>
      <c r="E14" s="57">
        <v>30</v>
      </c>
      <c r="F14" s="58" t="s">
        <v>48</v>
      </c>
      <c r="G14" s="85"/>
      <c r="H14" s="89" t="s">
        <v>47</v>
      </c>
      <c r="I14" s="56" t="s">
        <v>40</v>
      </c>
      <c r="J14" s="58">
        <f t="shared" si="0"/>
        <v>22.5</v>
      </c>
      <c r="K14" s="58" t="s">
        <v>48</v>
      </c>
      <c r="L14" s="58"/>
      <c r="M14" s="58">
        <f>ROUNDUP((R5*E14)+(R6*J14)+(R7*(E14*2)),2)</f>
        <v>0</v>
      </c>
      <c r="N14" s="93">
        <f>M14</f>
        <v>0</v>
      </c>
      <c r="O14" s="100" t="s">
        <v>241</v>
      </c>
      <c r="P14" s="59" t="s">
        <v>50</v>
      </c>
      <c r="Q14" s="56"/>
      <c r="R14" s="60">
        <v>0.5</v>
      </c>
      <c r="S14" s="57">
        <f t="shared" si="1"/>
        <v>0.38</v>
      </c>
      <c r="T14" s="77">
        <f>ROUNDUP((R5*R14)+(R6*S14)+(R7*(R14*2)),2)</f>
        <v>0</v>
      </c>
    </row>
    <row r="15" spans="1:21" ht="18.75" customHeight="1" x14ac:dyDescent="0.15">
      <c r="A15" s="242"/>
      <c r="B15" s="81"/>
      <c r="C15" s="55" t="s">
        <v>97</v>
      </c>
      <c r="D15" s="56" t="s">
        <v>27</v>
      </c>
      <c r="E15" s="57">
        <v>9</v>
      </c>
      <c r="F15" s="58" t="s">
        <v>29</v>
      </c>
      <c r="G15" s="85"/>
      <c r="H15" s="89" t="s">
        <v>97</v>
      </c>
      <c r="I15" s="56" t="s">
        <v>27</v>
      </c>
      <c r="J15" s="58">
        <f t="shared" si="0"/>
        <v>6.75</v>
      </c>
      <c r="K15" s="58" t="s">
        <v>29</v>
      </c>
      <c r="L15" s="58"/>
      <c r="M15" s="58">
        <f>ROUNDUP((R5*E15)+(R6*J15)+(R7*(E15*2)),2)</f>
        <v>0</v>
      </c>
      <c r="N15" s="93">
        <f>M15</f>
        <v>0</v>
      </c>
      <c r="O15" s="81" t="s">
        <v>242</v>
      </c>
      <c r="P15" s="59" t="s">
        <v>57</v>
      </c>
      <c r="Q15" s="56"/>
      <c r="R15" s="60">
        <v>2</v>
      </c>
      <c r="S15" s="57">
        <f t="shared" si="1"/>
        <v>1.5</v>
      </c>
      <c r="T15" s="77">
        <f>ROUNDUP((R5*R15)+(R6*S15)+(R7*(R15*2)),2)</f>
        <v>0</v>
      </c>
    </row>
    <row r="16" spans="1:21" ht="18.75" customHeight="1" x14ac:dyDescent="0.15">
      <c r="A16" s="242"/>
      <c r="B16" s="82"/>
      <c r="C16" s="61"/>
      <c r="D16" s="62"/>
      <c r="E16" s="63"/>
      <c r="F16" s="64"/>
      <c r="G16" s="86"/>
      <c r="H16" s="90"/>
      <c r="I16" s="62"/>
      <c r="J16" s="64"/>
      <c r="K16" s="64"/>
      <c r="L16" s="64"/>
      <c r="M16" s="64"/>
      <c r="N16" s="94"/>
      <c r="O16" s="82" t="s">
        <v>28</v>
      </c>
      <c r="P16" s="65"/>
      <c r="Q16" s="62"/>
      <c r="R16" s="66"/>
      <c r="S16" s="63"/>
      <c r="T16" s="78"/>
    </row>
    <row r="17" spans="1:20" ht="18.75" customHeight="1" x14ac:dyDescent="0.15">
      <c r="A17" s="242"/>
      <c r="B17" s="81" t="s">
        <v>98</v>
      </c>
      <c r="C17" s="55" t="s">
        <v>101</v>
      </c>
      <c r="D17" s="56"/>
      <c r="E17" s="57">
        <v>30</v>
      </c>
      <c r="F17" s="58" t="s">
        <v>29</v>
      </c>
      <c r="G17" s="85"/>
      <c r="H17" s="89" t="s">
        <v>101</v>
      </c>
      <c r="I17" s="56"/>
      <c r="J17" s="58">
        <f>ROUNDUP(E17*0.75,2)</f>
        <v>22.5</v>
      </c>
      <c r="K17" s="58" t="s">
        <v>29</v>
      </c>
      <c r="L17" s="58"/>
      <c r="M17" s="58">
        <f>ROUNDUP((R5*E17)+(R6*J17)+(R7*(E17*2)),2)</f>
        <v>0</v>
      </c>
      <c r="N17" s="93">
        <f>ROUND(M17+(M17*2/100),2)</f>
        <v>0</v>
      </c>
      <c r="O17" s="81" t="s">
        <v>99</v>
      </c>
      <c r="P17" s="59" t="s">
        <v>50</v>
      </c>
      <c r="Q17" s="56"/>
      <c r="R17" s="60">
        <v>1</v>
      </c>
      <c r="S17" s="57">
        <f>ROUNDUP(R17*0.75,2)</f>
        <v>0.75</v>
      </c>
      <c r="T17" s="77">
        <f>ROUNDUP((R5*R17)+(R6*S17)+(R7*(R17*2)),2)</f>
        <v>0</v>
      </c>
    </row>
    <row r="18" spans="1:20" ht="18.75" customHeight="1" x14ac:dyDescent="0.15">
      <c r="A18" s="242"/>
      <c r="B18" s="81"/>
      <c r="C18" s="55" t="s">
        <v>102</v>
      </c>
      <c r="D18" s="56"/>
      <c r="E18" s="57">
        <v>10</v>
      </c>
      <c r="F18" s="58" t="s">
        <v>29</v>
      </c>
      <c r="G18" s="85"/>
      <c r="H18" s="89" t="s">
        <v>102</v>
      </c>
      <c r="I18" s="56"/>
      <c r="J18" s="58">
        <f>ROUNDUP(E18*0.75,2)</f>
        <v>7.5</v>
      </c>
      <c r="K18" s="58" t="s">
        <v>29</v>
      </c>
      <c r="L18" s="58"/>
      <c r="M18" s="58">
        <f>ROUNDUP((R5*E18)+(R6*J18)+(R7*(E18*2)),2)</f>
        <v>0</v>
      </c>
      <c r="N18" s="93">
        <f>M18</f>
        <v>0</v>
      </c>
      <c r="O18" s="81" t="s">
        <v>100</v>
      </c>
      <c r="P18" s="59" t="s">
        <v>41</v>
      </c>
      <c r="Q18" s="56"/>
      <c r="R18" s="60">
        <v>0.1</v>
      </c>
      <c r="S18" s="57">
        <f>ROUNDUP(R18*0.75,2)</f>
        <v>0.08</v>
      </c>
      <c r="T18" s="77">
        <f>ROUNDUP((R5*R18)+(R6*S18)+(R7*(R18*2)),2)</f>
        <v>0</v>
      </c>
    </row>
    <row r="19" spans="1:20" ht="18.75" customHeight="1" x14ac:dyDescent="0.15">
      <c r="A19" s="242"/>
      <c r="B19" s="81"/>
      <c r="C19" s="55"/>
      <c r="D19" s="56"/>
      <c r="E19" s="57"/>
      <c r="F19" s="58"/>
      <c r="G19" s="85"/>
      <c r="H19" s="89"/>
      <c r="I19" s="56"/>
      <c r="J19" s="58"/>
      <c r="K19" s="58"/>
      <c r="L19" s="58"/>
      <c r="M19" s="58"/>
      <c r="N19" s="93"/>
      <c r="O19" s="81" t="s">
        <v>28</v>
      </c>
      <c r="P19" s="59" t="s">
        <v>88</v>
      </c>
      <c r="Q19" s="56"/>
      <c r="R19" s="60">
        <v>2</v>
      </c>
      <c r="S19" s="57">
        <f>ROUNDUP(R19*0.75,2)</f>
        <v>1.5</v>
      </c>
      <c r="T19" s="77">
        <f>ROUNDUP((R5*R19)+(R6*S19)+(R7*(R19*2)),2)</f>
        <v>0</v>
      </c>
    </row>
    <row r="20" spans="1:20" ht="18.75" customHeight="1" x14ac:dyDescent="0.15">
      <c r="A20" s="242"/>
      <c r="B20" s="81"/>
      <c r="C20" s="55"/>
      <c r="D20" s="56"/>
      <c r="E20" s="57"/>
      <c r="F20" s="58"/>
      <c r="G20" s="85"/>
      <c r="H20" s="89"/>
      <c r="I20" s="56"/>
      <c r="J20" s="58"/>
      <c r="K20" s="58"/>
      <c r="L20" s="58"/>
      <c r="M20" s="58"/>
      <c r="N20" s="93"/>
      <c r="O20" s="81"/>
      <c r="P20" s="59" t="s">
        <v>54</v>
      </c>
      <c r="Q20" s="56"/>
      <c r="R20" s="60">
        <v>2</v>
      </c>
      <c r="S20" s="57">
        <f>ROUNDUP(R20*0.75,2)</f>
        <v>1.5</v>
      </c>
      <c r="T20" s="77">
        <f>ROUNDUP((R5*R20)+(R6*S20)+(R7*(R20*2)),2)</f>
        <v>0</v>
      </c>
    </row>
    <row r="21" spans="1:20" ht="18.75" customHeight="1" x14ac:dyDescent="0.15">
      <c r="A21" s="242"/>
      <c r="B21" s="82"/>
      <c r="C21" s="61"/>
      <c r="D21" s="62"/>
      <c r="E21" s="63"/>
      <c r="F21" s="64"/>
      <c r="G21" s="86"/>
      <c r="H21" s="90"/>
      <c r="I21" s="62"/>
      <c r="J21" s="64"/>
      <c r="K21" s="64"/>
      <c r="L21" s="64"/>
      <c r="M21" s="64"/>
      <c r="N21" s="94"/>
      <c r="O21" s="82"/>
      <c r="P21" s="65"/>
      <c r="Q21" s="62"/>
      <c r="R21" s="66"/>
      <c r="S21" s="63"/>
      <c r="T21" s="78"/>
    </row>
    <row r="22" spans="1:20" ht="18.75" customHeight="1" x14ac:dyDescent="0.15">
      <c r="A22" s="242"/>
      <c r="B22" s="81" t="s">
        <v>103</v>
      </c>
      <c r="C22" s="55" t="s">
        <v>104</v>
      </c>
      <c r="D22" s="56"/>
      <c r="E22" s="98">
        <v>0.16666666666666666</v>
      </c>
      <c r="F22" s="58" t="s">
        <v>38</v>
      </c>
      <c r="G22" s="85"/>
      <c r="H22" s="89" t="s">
        <v>104</v>
      </c>
      <c r="I22" s="56"/>
      <c r="J22" s="58">
        <f>ROUNDUP(E22*0.75,2)</f>
        <v>0.13</v>
      </c>
      <c r="K22" s="58" t="s">
        <v>38</v>
      </c>
      <c r="L22" s="58"/>
      <c r="M22" s="58">
        <f>ROUNDUP((R5*E22)+(R6*J22)+(R7*(E22*2)),2)</f>
        <v>0</v>
      </c>
      <c r="N22" s="93">
        <f>M22</f>
        <v>0</v>
      </c>
      <c r="O22" s="81" t="s">
        <v>61</v>
      </c>
      <c r="P22" s="59"/>
      <c r="Q22" s="56"/>
      <c r="R22" s="60"/>
      <c r="S22" s="57"/>
      <c r="T22" s="77"/>
    </row>
    <row r="23" spans="1:20" ht="18.75" customHeight="1" thickBot="1" x14ac:dyDescent="0.2">
      <c r="A23" s="243"/>
      <c r="B23" s="83"/>
      <c r="C23" s="68"/>
      <c r="D23" s="69"/>
      <c r="E23" s="70"/>
      <c r="F23" s="71"/>
      <c r="G23" s="87"/>
      <c r="H23" s="91"/>
      <c r="I23" s="69"/>
      <c r="J23" s="71"/>
      <c r="K23" s="71"/>
      <c r="L23" s="71"/>
      <c r="M23" s="71"/>
      <c r="N23" s="95"/>
      <c r="O23" s="83"/>
      <c r="P23" s="72"/>
      <c r="Q23" s="69"/>
      <c r="R23" s="73"/>
      <c r="S23" s="70"/>
      <c r="T23" s="79"/>
    </row>
  </sheetData>
  <mergeCells count="5">
    <mergeCell ref="H1:O1"/>
    <mergeCell ref="A2:T2"/>
    <mergeCell ref="Q3:T3"/>
    <mergeCell ref="A8:F8"/>
    <mergeCell ref="A10:A23"/>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415</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416</v>
      </c>
      <c r="C13" s="132" t="s">
        <v>69</v>
      </c>
      <c r="D13" s="132"/>
      <c r="E13" s="56"/>
      <c r="F13" s="56"/>
      <c r="G13" s="132"/>
      <c r="H13" s="135">
        <v>15</v>
      </c>
      <c r="I13" s="132" t="s">
        <v>386</v>
      </c>
      <c r="J13" s="136" t="s">
        <v>353</v>
      </c>
      <c r="K13" s="135">
        <v>10</v>
      </c>
      <c r="L13" s="132" t="s">
        <v>417</v>
      </c>
      <c r="M13" s="132" t="s">
        <v>96</v>
      </c>
      <c r="N13" s="135">
        <v>10</v>
      </c>
      <c r="O13" s="134"/>
    </row>
    <row r="14" spans="1:21" ht="14.25" x14ac:dyDescent="0.15">
      <c r="A14" s="265"/>
      <c r="B14" s="132"/>
      <c r="C14" s="132" t="s">
        <v>96</v>
      </c>
      <c r="D14" s="132"/>
      <c r="E14" s="56"/>
      <c r="F14" s="56"/>
      <c r="G14" s="132"/>
      <c r="H14" s="135">
        <v>20</v>
      </c>
      <c r="I14" s="132"/>
      <c r="J14" s="132" t="s">
        <v>96</v>
      </c>
      <c r="K14" s="135">
        <v>20</v>
      </c>
      <c r="L14" s="129"/>
      <c r="M14" s="129"/>
      <c r="N14" s="130"/>
      <c r="O14" s="131"/>
    </row>
    <row r="15" spans="1:21" ht="14.25" x14ac:dyDescent="0.15">
      <c r="A15" s="265"/>
      <c r="B15" s="132"/>
      <c r="C15" s="132" t="s">
        <v>56</v>
      </c>
      <c r="D15" s="132"/>
      <c r="E15" s="56"/>
      <c r="F15" s="56"/>
      <c r="G15" s="132"/>
      <c r="H15" s="135">
        <v>10</v>
      </c>
      <c r="I15" s="132"/>
      <c r="J15" s="132" t="s">
        <v>56</v>
      </c>
      <c r="K15" s="135">
        <v>10</v>
      </c>
      <c r="L15" s="132" t="s">
        <v>371</v>
      </c>
      <c r="M15" s="132" t="s">
        <v>56</v>
      </c>
      <c r="N15" s="135">
        <v>10</v>
      </c>
      <c r="O15" s="134"/>
    </row>
    <row r="16" spans="1:21" ht="14.25" x14ac:dyDescent="0.15">
      <c r="A16" s="265"/>
      <c r="B16" s="132"/>
      <c r="C16" s="132" t="s">
        <v>33</v>
      </c>
      <c r="D16" s="132"/>
      <c r="E16" s="56"/>
      <c r="F16" s="56"/>
      <c r="G16" s="132"/>
      <c r="H16" s="135">
        <v>5</v>
      </c>
      <c r="I16" s="132"/>
      <c r="J16" s="132" t="s">
        <v>33</v>
      </c>
      <c r="K16" s="135">
        <v>5</v>
      </c>
      <c r="L16" s="132"/>
      <c r="M16" s="132" t="s">
        <v>33</v>
      </c>
      <c r="N16" s="135">
        <v>5</v>
      </c>
      <c r="O16" s="134"/>
    </row>
    <row r="17" spans="1:15" ht="14.25" x14ac:dyDescent="0.15">
      <c r="A17" s="265"/>
      <c r="B17" s="132"/>
      <c r="C17" s="132" t="s">
        <v>47</v>
      </c>
      <c r="D17" s="132"/>
      <c r="E17" s="56" t="s">
        <v>40</v>
      </c>
      <c r="F17" s="56"/>
      <c r="G17" s="132"/>
      <c r="H17" s="135">
        <v>20</v>
      </c>
      <c r="I17" s="132"/>
      <c r="J17" s="132" t="s">
        <v>47</v>
      </c>
      <c r="K17" s="135">
        <v>15</v>
      </c>
      <c r="L17" s="132"/>
      <c r="M17" s="132"/>
      <c r="N17" s="135"/>
      <c r="O17" s="134"/>
    </row>
    <row r="18" spans="1:15" ht="14.25" x14ac:dyDescent="0.15">
      <c r="A18" s="265"/>
      <c r="B18" s="132"/>
      <c r="C18" s="132"/>
      <c r="D18" s="132"/>
      <c r="E18" s="56"/>
      <c r="F18" s="56"/>
      <c r="G18" s="132" t="s">
        <v>55</v>
      </c>
      <c r="H18" s="135" t="s">
        <v>354</v>
      </c>
      <c r="I18" s="132"/>
      <c r="J18" s="132"/>
      <c r="K18" s="135"/>
      <c r="L18" s="132"/>
      <c r="M18" s="132"/>
      <c r="N18" s="135"/>
      <c r="O18" s="134"/>
    </row>
    <row r="19" spans="1:15" ht="14.25" x14ac:dyDescent="0.15">
      <c r="A19" s="265"/>
      <c r="B19" s="132"/>
      <c r="C19" s="132"/>
      <c r="D19" s="132"/>
      <c r="E19" s="56"/>
      <c r="F19" s="56"/>
      <c r="G19" s="132" t="s">
        <v>41</v>
      </c>
      <c r="H19" s="135" t="s">
        <v>356</v>
      </c>
      <c r="I19" s="132"/>
      <c r="J19" s="132"/>
      <c r="K19" s="135"/>
      <c r="L19" s="132"/>
      <c r="M19" s="132"/>
      <c r="N19" s="135"/>
      <c r="O19" s="134"/>
    </row>
    <row r="20" spans="1:15" ht="14.25" x14ac:dyDescent="0.15">
      <c r="A20" s="265"/>
      <c r="B20" s="129"/>
      <c r="C20" s="129"/>
      <c r="D20" s="129"/>
      <c r="E20" s="62"/>
      <c r="F20" s="62"/>
      <c r="G20" s="129"/>
      <c r="H20" s="130"/>
      <c r="I20" s="129"/>
      <c r="J20" s="129"/>
      <c r="K20" s="130"/>
      <c r="L20" s="132"/>
      <c r="M20" s="132"/>
      <c r="N20" s="135"/>
      <c r="O20" s="134"/>
    </row>
    <row r="21" spans="1:15" ht="14.25" x14ac:dyDescent="0.15">
      <c r="A21" s="265"/>
      <c r="B21" s="132" t="s">
        <v>418</v>
      </c>
      <c r="C21" s="132" t="s">
        <v>101</v>
      </c>
      <c r="D21" s="132"/>
      <c r="E21" s="56"/>
      <c r="F21" s="56"/>
      <c r="G21" s="132"/>
      <c r="H21" s="135">
        <v>20</v>
      </c>
      <c r="I21" s="132" t="s">
        <v>418</v>
      </c>
      <c r="J21" s="132" t="s">
        <v>101</v>
      </c>
      <c r="K21" s="135">
        <v>10</v>
      </c>
      <c r="L21" s="132"/>
      <c r="M21" s="132"/>
      <c r="N21" s="135"/>
      <c r="O21" s="134"/>
    </row>
    <row r="22" spans="1:15" ht="14.25" x14ac:dyDescent="0.15">
      <c r="A22" s="265"/>
      <c r="B22" s="129"/>
      <c r="C22" s="129"/>
      <c r="D22" s="129"/>
      <c r="E22" s="62"/>
      <c r="F22" s="62"/>
      <c r="G22" s="129"/>
      <c r="H22" s="130"/>
      <c r="I22" s="129"/>
      <c r="J22" s="129"/>
      <c r="K22" s="130"/>
      <c r="L22" s="132"/>
      <c r="M22" s="132"/>
      <c r="N22" s="135"/>
      <c r="O22" s="134"/>
    </row>
    <row r="23" spans="1:15" ht="14.25" x14ac:dyDescent="0.15">
      <c r="A23" s="265"/>
      <c r="B23" s="132" t="s">
        <v>103</v>
      </c>
      <c r="C23" s="132" t="s">
        <v>104</v>
      </c>
      <c r="D23" s="132"/>
      <c r="E23" s="56"/>
      <c r="F23" s="137"/>
      <c r="G23" s="132"/>
      <c r="H23" s="133">
        <v>0.1</v>
      </c>
      <c r="I23" s="132" t="s">
        <v>103</v>
      </c>
      <c r="J23" s="132" t="s">
        <v>104</v>
      </c>
      <c r="K23" s="133">
        <v>0.1</v>
      </c>
      <c r="L23" s="132"/>
      <c r="M23" s="132"/>
      <c r="N23" s="135"/>
      <c r="O23" s="134"/>
    </row>
    <row r="24" spans="1:15" ht="15" thickBot="1" x14ac:dyDescent="0.2">
      <c r="A24" s="266"/>
      <c r="B24" s="139"/>
      <c r="C24" s="139"/>
      <c r="D24" s="139"/>
      <c r="E24" s="69"/>
      <c r="F24" s="69"/>
      <c r="G24" s="139"/>
      <c r="H24" s="140"/>
      <c r="I24" s="139"/>
      <c r="J24" s="139"/>
      <c r="K24" s="140"/>
      <c r="L24" s="139"/>
      <c r="M24" s="139"/>
      <c r="N24" s="140"/>
      <c r="O24" s="141"/>
    </row>
    <row r="25" spans="1:15" ht="14.25" x14ac:dyDescent="0.15">
      <c r="B25" s="105"/>
      <c r="C25" s="105"/>
      <c r="D25" s="105"/>
      <c r="G25" s="105"/>
      <c r="H25" s="142"/>
      <c r="I25" s="105"/>
      <c r="J25" s="105"/>
      <c r="K25" s="142"/>
      <c r="L25" s="105"/>
      <c r="M25" s="105"/>
      <c r="N25" s="142"/>
    </row>
    <row r="26" spans="1:15" ht="14.25" x14ac:dyDescent="0.15">
      <c r="B26" s="105"/>
      <c r="C26" s="105"/>
      <c r="D26" s="105"/>
      <c r="G26" s="105"/>
      <c r="H26" s="142"/>
      <c r="I26" s="105"/>
      <c r="J26" s="105"/>
      <c r="K26" s="142"/>
      <c r="L26" s="105"/>
      <c r="M26" s="105"/>
      <c r="N26" s="142"/>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sheetData>
  <mergeCells count="15">
    <mergeCell ref="L8:N8"/>
    <mergeCell ref="O8:O10"/>
    <mergeCell ref="I9:K9"/>
    <mergeCell ref="L9:N9"/>
    <mergeCell ref="A11:A24"/>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217</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115</v>
      </c>
      <c r="C10" s="48" t="s">
        <v>116</v>
      </c>
      <c r="D10" s="49" t="s">
        <v>117</v>
      </c>
      <c r="E10" s="50">
        <v>0.5</v>
      </c>
      <c r="F10" s="51" t="s">
        <v>24</v>
      </c>
      <c r="G10" s="84"/>
      <c r="H10" s="88" t="s">
        <v>116</v>
      </c>
      <c r="I10" s="49" t="s">
        <v>117</v>
      </c>
      <c r="J10" s="51">
        <f>ROUNDUP(E10*0.75,2)</f>
        <v>0.38</v>
      </c>
      <c r="K10" s="51" t="s">
        <v>24</v>
      </c>
      <c r="L10" s="51"/>
      <c r="M10" s="51">
        <f>ROUNDUP((R5*E10)+(R6*J10)+(R7*(E10*2)),2)</f>
        <v>0</v>
      </c>
      <c r="N10" s="92">
        <f>M10</f>
        <v>0</v>
      </c>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253</v>
      </c>
      <c r="C12" s="55" t="s">
        <v>120</v>
      </c>
      <c r="D12" s="56"/>
      <c r="E12" s="57">
        <v>1</v>
      </c>
      <c r="F12" s="58" t="s">
        <v>53</v>
      </c>
      <c r="G12" s="85" t="s">
        <v>52</v>
      </c>
      <c r="H12" s="89" t="s">
        <v>120</v>
      </c>
      <c r="I12" s="56"/>
      <c r="J12" s="58">
        <f>ROUNDUP(E12*0.75,2)</f>
        <v>0.75</v>
      </c>
      <c r="K12" s="58" t="s">
        <v>53</v>
      </c>
      <c r="L12" s="58" t="s">
        <v>52</v>
      </c>
      <c r="M12" s="58">
        <f>ROUNDUP((R5*E12)+(R6*J12)+(R7*(E12*2)),2)</f>
        <v>0</v>
      </c>
      <c r="N12" s="93">
        <f>M12</f>
        <v>0</v>
      </c>
      <c r="O12" s="100" t="s">
        <v>246</v>
      </c>
      <c r="P12" s="59" t="s">
        <v>41</v>
      </c>
      <c r="Q12" s="56"/>
      <c r="R12" s="60">
        <v>0.1</v>
      </c>
      <c r="S12" s="57">
        <f t="shared" ref="S12:S19" si="0">ROUNDUP(R12*0.75,2)</f>
        <v>0.08</v>
      </c>
      <c r="T12" s="77">
        <f>ROUNDUP((R5*R12)+(R6*S12)+(R7*(R12*2)),2)</f>
        <v>0</v>
      </c>
    </row>
    <row r="13" spans="1:21" ht="18.75" customHeight="1" x14ac:dyDescent="0.15">
      <c r="A13" s="242"/>
      <c r="B13" s="101" t="s">
        <v>254</v>
      </c>
      <c r="C13" s="55" t="s">
        <v>56</v>
      </c>
      <c r="D13" s="56"/>
      <c r="E13" s="57">
        <v>10</v>
      </c>
      <c r="F13" s="58" t="s">
        <v>29</v>
      </c>
      <c r="G13" s="85"/>
      <c r="H13" s="89" t="s">
        <v>56</v>
      </c>
      <c r="I13" s="56"/>
      <c r="J13" s="58">
        <f>ROUNDUP(E13*0.75,2)</f>
        <v>7.5</v>
      </c>
      <c r="K13" s="58" t="s">
        <v>29</v>
      </c>
      <c r="L13" s="58"/>
      <c r="M13" s="58">
        <f>ROUNDUP((R5*E13)+(R6*J13)+(R7*(E13*2)),2)</f>
        <v>0</v>
      </c>
      <c r="N13" s="93">
        <f>ROUND(M13+(M13*6/100),2)</f>
        <v>0</v>
      </c>
      <c r="O13" s="36" t="s">
        <v>247</v>
      </c>
      <c r="P13" s="59" t="s">
        <v>54</v>
      </c>
      <c r="Q13" s="56"/>
      <c r="R13" s="60">
        <v>2</v>
      </c>
      <c r="S13" s="57">
        <f t="shared" si="0"/>
        <v>1.5</v>
      </c>
      <c r="T13" s="77">
        <f>ROUNDUP((R5*R13)+(R6*S13)+(R7*(R13*2)),2)</f>
        <v>0</v>
      </c>
    </row>
    <row r="14" spans="1:21" ht="18.75" customHeight="1" x14ac:dyDescent="0.15">
      <c r="A14" s="242"/>
      <c r="B14" s="81"/>
      <c r="C14" s="55" t="s">
        <v>121</v>
      </c>
      <c r="D14" s="56"/>
      <c r="E14" s="57">
        <v>10</v>
      </c>
      <c r="F14" s="58" t="s">
        <v>29</v>
      </c>
      <c r="G14" s="85"/>
      <c r="H14" s="89" t="s">
        <v>121</v>
      </c>
      <c r="I14" s="56"/>
      <c r="J14" s="58">
        <f>ROUNDUP(E14*0.75,2)</f>
        <v>7.5</v>
      </c>
      <c r="K14" s="58" t="s">
        <v>29</v>
      </c>
      <c r="L14" s="58"/>
      <c r="M14" s="58">
        <f>ROUNDUP((R5*E14)+(R6*J14)+(R7*(E14*2)),2)</f>
        <v>0</v>
      </c>
      <c r="N14" s="93">
        <f>ROUND(M14+(M14*10/100),2)</f>
        <v>0</v>
      </c>
      <c r="O14" s="81" t="s">
        <v>118</v>
      </c>
      <c r="P14" s="59" t="s">
        <v>54</v>
      </c>
      <c r="Q14" s="56"/>
      <c r="R14" s="60">
        <v>1</v>
      </c>
      <c r="S14" s="57">
        <f t="shared" si="0"/>
        <v>0.75</v>
      </c>
      <c r="T14" s="77">
        <f>ROUNDUP((R5*R14)+(R6*S14)+(R7*(R14*2)),2)</f>
        <v>0</v>
      </c>
    </row>
    <row r="15" spans="1:21" ht="18.75" customHeight="1" x14ac:dyDescent="0.15">
      <c r="A15" s="242"/>
      <c r="B15" s="81"/>
      <c r="C15" s="55" t="s">
        <v>47</v>
      </c>
      <c r="D15" s="56" t="s">
        <v>40</v>
      </c>
      <c r="E15" s="57">
        <v>30</v>
      </c>
      <c r="F15" s="58" t="s">
        <v>48</v>
      </c>
      <c r="G15" s="85"/>
      <c r="H15" s="89" t="s">
        <v>47</v>
      </c>
      <c r="I15" s="56" t="s">
        <v>40</v>
      </c>
      <c r="J15" s="58">
        <f>ROUNDUP(E15*0.75,2)</f>
        <v>22.5</v>
      </c>
      <c r="K15" s="58" t="s">
        <v>48</v>
      </c>
      <c r="L15" s="58"/>
      <c r="M15" s="58">
        <f>ROUNDUP((R5*E15)+(R6*J15)+(R7*(E15*2)),2)</f>
        <v>0</v>
      </c>
      <c r="N15" s="93">
        <f>M15</f>
        <v>0</v>
      </c>
      <c r="O15" s="100" t="s">
        <v>244</v>
      </c>
      <c r="P15" s="59" t="s">
        <v>41</v>
      </c>
      <c r="Q15" s="56"/>
      <c r="R15" s="60">
        <v>0.1</v>
      </c>
      <c r="S15" s="57">
        <f t="shared" si="0"/>
        <v>0.08</v>
      </c>
      <c r="T15" s="77">
        <f>ROUNDUP((R5*R15)+(R6*S15)+(R7*(R15*2)),2)</f>
        <v>0</v>
      </c>
    </row>
    <row r="16" spans="1:21" ht="18.75" customHeight="1" x14ac:dyDescent="0.15">
      <c r="A16" s="242"/>
      <c r="B16" s="81"/>
      <c r="C16" s="55"/>
      <c r="D16" s="56"/>
      <c r="E16" s="57"/>
      <c r="F16" s="58"/>
      <c r="G16" s="85"/>
      <c r="H16" s="89"/>
      <c r="I16" s="56"/>
      <c r="J16" s="58"/>
      <c r="K16" s="58"/>
      <c r="L16" s="58"/>
      <c r="M16" s="58"/>
      <c r="N16" s="93"/>
      <c r="O16" s="36" t="s">
        <v>245</v>
      </c>
      <c r="P16" s="59" t="s">
        <v>42</v>
      </c>
      <c r="Q16" s="56"/>
      <c r="R16" s="60">
        <v>0.01</v>
      </c>
      <c r="S16" s="57">
        <f t="shared" si="0"/>
        <v>0.01</v>
      </c>
      <c r="T16" s="77">
        <f>ROUNDUP((R5*R16)+(R6*S16)+(R7*(R16*2)),2)</f>
        <v>0</v>
      </c>
    </row>
    <row r="17" spans="1:20" ht="18.75" customHeight="1" x14ac:dyDescent="0.15">
      <c r="A17" s="242"/>
      <c r="B17" s="81"/>
      <c r="C17" s="55"/>
      <c r="D17" s="56"/>
      <c r="E17" s="57"/>
      <c r="F17" s="58"/>
      <c r="G17" s="85"/>
      <c r="H17" s="89"/>
      <c r="I17" s="56"/>
      <c r="J17" s="58"/>
      <c r="K17" s="58"/>
      <c r="L17" s="58"/>
      <c r="M17" s="58"/>
      <c r="N17" s="93"/>
      <c r="O17" s="81" t="s">
        <v>119</v>
      </c>
      <c r="P17" s="59" t="s">
        <v>39</v>
      </c>
      <c r="Q17" s="56" t="s">
        <v>40</v>
      </c>
      <c r="R17" s="60">
        <v>1</v>
      </c>
      <c r="S17" s="57">
        <f t="shared" si="0"/>
        <v>0.75</v>
      </c>
      <c r="T17" s="77">
        <f>ROUNDUP((R5*R17)+(R6*S17)+(R7*(R17*2)),2)</f>
        <v>0</v>
      </c>
    </row>
    <row r="18" spans="1:20" ht="18.75" customHeight="1" x14ac:dyDescent="0.15">
      <c r="A18" s="242"/>
      <c r="B18" s="81"/>
      <c r="C18" s="55"/>
      <c r="D18" s="56"/>
      <c r="E18" s="57"/>
      <c r="F18" s="58"/>
      <c r="G18" s="85"/>
      <c r="H18" s="89"/>
      <c r="I18" s="56"/>
      <c r="J18" s="58"/>
      <c r="K18" s="58"/>
      <c r="L18" s="58"/>
      <c r="M18" s="58"/>
      <c r="N18" s="93"/>
      <c r="O18" s="100" t="s">
        <v>250</v>
      </c>
      <c r="P18" s="59" t="s">
        <v>49</v>
      </c>
      <c r="Q18" s="56" t="s">
        <v>27</v>
      </c>
      <c r="R18" s="60">
        <v>2</v>
      </c>
      <c r="S18" s="57">
        <f t="shared" si="0"/>
        <v>1.5</v>
      </c>
      <c r="T18" s="77">
        <f>ROUNDUP((R5*R18)+(R6*S18)+(R7*(R18*2)),2)</f>
        <v>0</v>
      </c>
    </row>
    <row r="19" spans="1:20" ht="18.75" customHeight="1" x14ac:dyDescent="0.15">
      <c r="A19" s="242"/>
      <c r="B19" s="81"/>
      <c r="C19" s="55"/>
      <c r="D19" s="56"/>
      <c r="E19" s="57"/>
      <c r="F19" s="58"/>
      <c r="G19" s="85"/>
      <c r="H19" s="89"/>
      <c r="I19" s="56"/>
      <c r="J19" s="58"/>
      <c r="K19" s="58"/>
      <c r="L19" s="58"/>
      <c r="M19" s="58"/>
      <c r="N19" s="93"/>
      <c r="O19" s="81" t="s">
        <v>248</v>
      </c>
      <c r="P19" s="59" t="s">
        <v>122</v>
      </c>
      <c r="Q19" s="56" t="s">
        <v>27</v>
      </c>
      <c r="R19" s="60">
        <v>3</v>
      </c>
      <c r="S19" s="57">
        <f t="shared" si="0"/>
        <v>2.25</v>
      </c>
      <c r="T19" s="77">
        <f>ROUNDUP((R5*R19)+(R6*S19)+(R7*(R19*2)),2)</f>
        <v>0</v>
      </c>
    </row>
    <row r="20" spans="1:20" ht="18.75" customHeight="1" x14ac:dyDescent="0.15">
      <c r="A20" s="242"/>
      <c r="B20" s="81"/>
      <c r="C20" s="55"/>
      <c r="D20" s="56"/>
      <c r="E20" s="57"/>
      <c r="F20" s="58"/>
      <c r="G20" s="85"/>
      <c r="H20" s="89"/>
      <c r="I20" s="56"/>
      <c r="J20" s="58"/>
      <c r="K20" s="58"/>
      <c r="L20" s="58"/>
      <c r="M20" s="58"/>
      <c r="N20" s="93"/>
      <c r="O20" s="100" t="s">
        <v>243</v>
      </c>
      <c r="P20" s="59"/>
      <c r="Q20" s="56"/>
      <c r="R20" s="60"/>
      <c r="S20" s="57"/>
      <c r="T20" s="77"/>
    </row>
    <row r="21" spans="1:20" ht="18.75" customHeight="1" x14ac:dyDescent="0.15">
      <c r="A21" s="242"/>
      <c r="B21" s="81"/>
      <c r="C21" s="55"/>
      <c r="D21" s="56"/>
      <c r="E21" s="57"/>
      <c r="F21" s="58"/>
      <c r="G21" s="85"/>
      <c r="H21" s="89"/>
      <c r="I21" s="56"/>
      <c r="J21" s="58"/>
      <c r="K21" s="58"/>
      <c r="L21" s="58"/>
      <c r="M21" s="58"/>
      <c r="N21" s="93"/>
      <c r="O21" s="100" t="s">
        <v>326</v>
      </c>
      <c r="P21" s="59"/>
      <c r="Q21" s="56"/>
      <c r="R21" s="60"/>
      <c r="S21" s="57"/>
      <c r="T21" s="77"/>
    </row>
    <row r="22" spans="1:20" ht="18.75" customHeight="1" x14ac:dyDescent="0.15">
      <c r="A22" s="242"/>
      <c r="B22" s="81"/>
      <c r="C22" s="55"/>
      <c r="D22" s="56"/>
      <c r="E22" s="57"/>
      <c r="F22" s="58"/>
      <c r="G22" s="85"/>
      <c r="H22" s="89"/>
      <c r="I22" s="56"/>
      <c r="J22" s="58"/>
      <c r="K22" s="58"/>
      <c r="L22" s="58"/>
      <c r="M22" s="58"/>
      <c r="N22" s="93"/>
      <c r="O22" s="100" t="s">
        <v>295</v>
      </c>
      <c r="P22" s="59"/>
      <c r="Q22" s="56"/>
      <c r="R22" s="60"/>
      <c r="S22" s="57"/>
      <c r="T22" s="77"/>
    </row>
    <row r="23" spans="1:20" ht="18.75" customHeight="1" x14ac:dyDescent="0.15">
      <c r="A23" s="242"/>
      <c r="B23" s="82"/>
      <c r="C23" s="61"/>
      <c r="D23" s="62"/>
      <c r="E23" s="63"/>
      <c r="F23" s="64"/>
      <c r="G23" s="86"/>
      <c r="H23" s="90"/>
      <c r="I23" s="62"/>
      <c r="J23" s="64"/>
      <c r="K23" s="64"/>
      <c r="L23" s="64"/>
      <c r="M23" s="64"/>
      <c r="N23" s="94"/>
      <c r="O23" s="82" t="s">
        <v>28</v>
      </c>
      <c r="P23" s="65"/>
      <c r="Q23" s="62"/>
      <c r="R23" s="66"/>
      <c r="S23" s="63"/>
      <c r="T23" s="78"/>
    </row>
    <row r="24" spans="1:20" ht="18.75" customHeight="1" x14ac:dyDescent="0.15">
      <c r="A24" s="242"/>
      <c r="B24" s="81" t="s">
        <v>123</v>
      </c>
      <c r="C24" s="55" t="s">
        <v>126</v>
      </c>
      <c r="D24" s="56"/>
      <c r="E24" s="57">
        <v>50</v>
      </c>
      <c r="F24" s="58" t="s">
        <v>29</v>
      </c>
      <c r="G24" s="85"/>
      <c r="H24" s="89" t="s">
        <v>126</v>
      </c>
      <c r="I24" s="56"/>
      <c r="J24" s="58">
        <f>ROUNDUP(E24*0.75,2)</f>
        <v>37.5</v>
      </c>
      <c r="K24" s="58" t="s">
        <v>29</v>
      </c>
      <c r="L24" s="58"/>
      <c r="M24" s="58">
        <f>ROUNDUP((R5*E24)+(R6*J24)+(R7*(E24*2)),2)</f>
        <v>0</v>
      </c>
      <c r="N24" s="93">
        <f>ROUND(M24+(M24*10/100),2)</f>
        <v>0</v>
      </c>
      <c r="O24" s="81" t="s">
        <v>124</v>
      </c>
      <c r="P24" s="59" t="s">
        <v>55</v>
      </c>
      <c r="Q24" s="56"/>
      <c r="R24" s="60">
        <v>20</v>
      </c>
      <c r="S24" s="57">
        <f>ROUNDUP(R24*0.75,2)</f>
        <v>15</v>
      </c>
      <c r="T24" s="77">
        <f>ROUNDUP((R5*R24)+(R6*S24)+(R7*(R24*2)),2)</f>
        <v>0</v>
      </c>
    </row>
    <row r="25" spans="1:20" ht="18.75" customHeight="1" x14ac:dyDescent="0.15">
      <c r="A25" s="242"/>
      <c r="B25" s="81"/>
      <c r="C25" s="55"/>
      <c r="D25" s="56"/>
      <c r="E25" s="57"/>
      <c r="F25" s="58"/>
      <c r="G25" s="85"/>
      <c r="H25" s="89"/>
      <c r="I25" s="56"/>
      <c r="J25" s="58"/>
      <c r="K25" s="58"/>
      <c r="L25" s="58"/>
      <c r="M25" s="58"/>
      <c r="N25" s="93"/>
      <c r="O25" s="100" t="s">
        <v>251</v>
      </c>
      <c r="P25" s="59" t="s">
        <v>50</v>
      </c>
      <c r="Q25" s="56"/>
      <c r="R25" s="60">
        <v>1</v>
      </c>
      <c r="S25" s="57">
        <f>ROUNDUP(R25*0.75,2)</f>
        <v>0.75</v>
      </c>
      <c r="T25" s="77">
        <f>ROUNDUP((R5*R25)+(R6*S25)+(R7*(R25*2)),2)</f>
        <v>0</v>
      </c>
    </row>
    <row r="26" spans="1:20" ht="18.75" customHeight="1" x14ac:dyDescent="0.15">
      <c r="A26" s="242"/>
      <c r="B26" s="81"/>
      <c r="C26" s="55"/>
      <c r="D26" s="56"/>
      <c r="E26" s="57"/>
      <c r="F26" s="58"/>
      <c r="G26" s="85"/>
      <c r="H26" s="89"/>
      <c r="I26" s="56"/>
      <c r="J26" s="58"/>
      <c r="K26" s="58"/>
      <c r="L26" s="58"/>
      <c r="M26" s="58"/>
      <c r="N26" s="93"/>
      <c r="O26" s="102" t="s">
        <v>252</v>
      </c>
      <c r="P26" s="59" t="s">
        <v>41</v>
      </c>
      <c r="Q26" s="56"/>
      <c r="R26" s="60">
        <v>0.1</v>
      </c>
      <c r="S26" s="57">
        <f>ROUNDUP(R26*0.75,2)</f>
        <v>0.08</v>
      </c>
      <c r="T26" s="77">
        <f>ROUNDUP((R5*R26)+(R6*S26)+(R7*(R26*2)),2)</f>
        <v>0</v>
      </c>
    </row>
    <row r="27" spans="1:20" ht="18.75" customHeight="1" x14ac:dyDescent="0.15">
      <c r="A27" s="242"/>
      <c r="B27" s="81"/>
      <c r="C27" s="55"/>
      <c r="D27" s="56"/>
      <c r="E27" s="57"/>
      <c r="F27" s="58"/>
      <c r="G27" s="85"/>
      <c r="H27" s="89"/>
      <c r="I27" s="56"/>
      <c r="J27" s="58"/>
      <c r="K27" s="58"/>
      <c r="L27" s="58"/>
      <c r="M27" s="58"/>
      <c r="N27" s="93"/>
      <c r="O27" s="81" t="s">
        <v>125</v>
      </c>
      <c r="P27" s="59" t="s">
        <v>39</v>
      </c>
      <c r="Q27" s="56" t="s">
        <v>40</v>
      </c>
      <c r="R27" s="60">
        <v>1</v>
      </c>
      <c r="S27" s="57">
        <f>ROUNDUP(R27*0.75,2)</f>
        <v>0.75</v>
      </c>
      <c r="T27" s="77">
        <f>ROUNDUP((R5*R27)+(R6*S27)+(R7*(R27*2)),2)</f>
        <v>0</v>
      </c>
    </row>
    <row r="28" spans="1:20" ht="18.75" customHeight="1" x14ac:dyDescent="0.15">
      <c r="A28" s="242"/>
      <c r="B28" s="82"/>
      <c r="C28" s="61"/>
      <c r="D28" s="62"/>
      <c r="E28" s="63"/>
      <c r="F28" s="64"/>
      <c r="G28" s="86"/>
      <c r="H28" s="90"/>
      <c r="I28" s="62"/>
      <c r="J28" s="64"/>
      <c r="K28" s="64"/>
      <c r="L28" s="64"/>
      <c r="M28" s="64"/>
      <c r="N28" s="94"/>
      <c r="O28" s="82" t="s">
        <v>28</v>
      </c>
      <c r="P28" s="65"/>
      <c r="Q28" s="62"/>
      <c r="R28" s="66"/>
      <c r="S28" s="63"/>
      <c r="T28" s="78"/>
    </row>
    <row r="29" spans="1:20" ht="18.75" customHeight="1" x14ac:dyDescent="0.15">
      <c r="A29" s="242"/>
      <c r="B29" s="81" t="s">
        <v>127</v>
      </c>
      <c r="C29" s="55" t="s">
        <v>33</v>
      </c>
      <c r="D29" s="56"/>
      <c r="E29" s="57">
        <v>10</v>
      </c>
      <c r="F29" s="58" t="s">
        <v>29</v>
      </c>
      <c r="G29" s="85"/>
      <c r="H29" s="89" t="s">
        <v>33</v>
      </c>
      <c r="I29" s="56"/>
      <c r="J29" s="58">
        <f>ROUNDUP(E29*0.75,2)</f>
        <v>7.5</v>
      </c>
      <c r="K29" s="58" t="s">
        <v>29</v>
      </c>
      <c r="L29" s="58"/>
      <c r="M29" s="58">
        <f>ROUNDUP((R5*E29)+(R6*J29)+(R7*(E29*2)),2)</f>
        <v>0</v>
      </c>
      <c r="N29" s="93">
        <f>ROUND(M29+(M29*10/100),2)</f>
        <v>0</v>
      </c>
      <c r="O29" s="81" t="s">
        <v>28</v>
      </c>
      <c r="P29" s="59" t="s">
        <v>55</v>
      </c>
      <c r="Q29" s="56"/>
      <c r="R29" s="60">
        <v>100</v>
      </c>
      <c r="S29" s="57">
        <f>ROUNDUP(R29*0.75,2)</f>
        <v>75</v>
      </c>
      <c r="T29" s="77">
        <f>ROUNDUP((R5*R29)+(R6*S29)+(R7*(R29*2)),2)</f>
        <v>0</v>
      </c>
    </row>
    <row r="30" spans="1:20" ht="18.75" customHeight="1" x14ac:dyDescent="0.15">
      <c r="A30" s="242"/>
      <c r="B30" s="81"/>
      <c r="C30" s="55" t="s">
        <v>67</v>
      </c>
      <c r="D30" s="56"/>
      <c r="E30" s="97">
        <v>0.1</v>
      </c>
      <c r="F30" s="58" t="s">
        <v>68</v>
      </c>
      <c r="G30" s="85"/>
      <c r="H30" s="89" t="s">
        <v>67</v>
      </c>
      <c r="I30" s="56"/>
      <c r="J30" s="58">
        <f>ROUNDUP(E30*0.75,2)</f>
        <v>0.08</v>
      </c>
      <c r="K30" s="58" t="s">
        <v>68</v>
      </c>
      <c r="L30" s="58"/>
      <c r="M30" s="58">
        <f>ROUNDUP((R5*E30)+(R6*J30)+(R7*(E30*2)),2)</f>
        <v>0</v>
      </c>
      <c r="N30" s="93">
        <f>M30</f>
        <v>0</v>
      </c>
      <c r="O30" s="81"/>
      <c r="P30" s="59" t="s">
        <v>41</v>
      </c>
      <c r="Q30" s="56"/>
      <c r="R30" s="60">
        <v>0.1</v>
      </c>
      <c r="S30" s="57">
        <f>ROUNDUP(R30*0.75,2)</f>
        <v>0.08</v>
      </c>
      <c r="T30" s="77">
        <f>ROUNDUP((R5*R30)+(R6*S30)+(R7*(R30*2)),2)</f>
        <v>0</v>
      </c>
    </row>
    <row r="31" spans="1:20" ht="18.75" customHeight="1" x14ac:dyDescent="0.15">
      <c r="A31" s="242"/>
      <c r="B31" s="81"/>
      <c r="C31" s="55"/>
      <c r="D31" s="56"/>
      <c r="E31" s="57"/>
      <c r="F31" s="58"/>
      <c r="G31" s="85"/>
      <c r="H31" s="89"/>
      <c r="I31" s="56"/>
      <c r="J31" s="58"/>
      <c r="K31" s="58"/>
      <c r="L31" s="58"/>
      <c r="M31" s="58"/>
      <c r="N31" s="93"/>
      <c r="O31" s="81"/>
      <c r="P31" s="59" t="s">
        <v>128</v>
      </c>
      <c r="Q31" s="56" t="s">
        <v>129</v>
      </c>
      <c r="R31" s="60">
        <v>0.5</v>
      </c>
      <c r="S31" s="57">
        <f>ROUNDUP(R31*0.75,2)</f>
        <v>0.38</v>
      </c>
      <c r="T31" s="77">
        <f>ROUNDUP((R5*R31)+(R6*S31)+(R7*(R31*2)),2)</f>
        <v>0</v>
      </c>
    </row>
    <row r="32" spans="1:20" ht="18.75" customHeight="1" x14ac:dyDescent="0.15">
      <c r="A32" s="242"/>
      <c r="B32" s="82"/>
      <c r="C32" s="61"/>
      <c r="D32" s="62"/>
      <c r="E32" s="63"/>
      <c r="F32" s="64"/>
      <c r="G32" s="86"/>
      <c r="H32" s="90"/>
      <c r="I32" s="62"/>
      <c r="J32" s="64"/>
      <c r="K32" s="64"/>
      <c r="L32" s="64"/>
      <c r="M32" s="64"/>
      <c r="N32" s="94"/>
      <c r="O32" s="82"/>
      <c r="P32" s="65"/>
      <c r="Q32" s="62"/>
      <c r="R32" s="66"/>
      <c r="S32" s="63"/>
      <c r="T32" s="78"/>
    </row>
    <row r="33" spans="1:20" ht="18.75" customHeight="1" x14ac:dyDescent="0.15">
      <c r="A33" s="242"/>
      <c r="B33" s="81" t="s">
        <v>60</v>
      </c>
      <c r="C33" s="55" t="s">
        <v>62</v>
      </c>
      <c r="D33" s="56"/>
      <c r="E33" s="75">
        <v>0.125</v>
      </c>
      <c r="F33" s="58" t="s">
        <v>38</v>
      </c>
      <c r="G33" s="85"/>
      <c r="H33" s="89" t="s">
        <v>62</v>
      </c>
      <c r="I33" s="56"/>
      <c r="J33" s="58">
        <f>ROUNDUP(E33*0.75,2)</f>
        <v>9.9999999999999992E-2</v>
      </c>
      <c r="K33" s="58" t="s">
        <v>38</v>
      </c>
      <c r="L33" s="58"/>
      <c r="M33" s="58">
        <f>ROUNDUP((R5*E33)+(R6*J33)+(R7*(E33*2)),2)</f>
        <v>0</v>
      </c>
      <c r="N33" s="93">
        <f>M33</f>
        <v>0</v>
      </c>
      <c r="O33" s="81" t="s">
        <v>61</v>
      </c>
      <c r="P33" s="59"/>
      <c r="Q33" s="56"/>
      <c r="R33" s="60"/>
      <c r="S33" s="57"/>
      <c r="T33" s="77"/>
    </row>
    <row r="34" spans="1:20" ht="18.75" customHeight="1" thickBot="1" x14ac:dyDescent="0.2">
      <c r="A34" s="243"/>
      <c r="B34" s="83"/>
      <c r="C34" s="68"/>
      <c r="D34" s="69"/>
      <c r="E34" s="70"/>
      <c r="F34" s="71"/>
      <c r="G34" s="87"/>
      <c r="H34" s="91"/>
      <c r="I34" s="69"/>
      <c r="J34" s="71"/>
      <c r="K34" s="71"/>
      <c r="L34" s="71"/>
      <c r="M34" s="71"/>
      <c r="N34" s="95"/>
      <c r="O34" s="83"/>
      <c r="P34" s="72"/>
      <c r="Q34" s="69"/>
      <c r="R34" s="73"/>
      <c r="S34" s="70"/>
      <c r="T34" s="79"/>
    </row>
  </sheetData>
  <mergeCells count="5">
    <mergeCell ref="H1:O1"/>
    <mergeCell ref="A2:T2"/>
    <mergeCell ref="Q3:T3"/>
    <mergeCell ref="A8:F8"/>
    <mergeCell ref="A10:A34"/>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419</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420</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362</v>
      </c>
      <c r="C13" s="132" t="s">
        <v>120</v>
      </c>
      <c r="D13" s="132" t="s">
        <v>52</v>
      </c>
      <c r="E13" s="56"/>
      <c r="F13" s="56"/>
      <c r="G13" s="132"/>
      <c r="H13" s="143">
        <v>0.7</v>
      </c>
      <c r="I13" s="132" t="s">
        <v>362</v>
      </c>
      <c r="J13" s="132" t="s">
        <v>120</v>
      </c>
      <c r="K13" s="143">
        <v>0.3</v>
      </c>
      <c r="L13" s="132" t="s">
        <v>363</v>
      </c>
      <c r="M13" s="132" t="s">
        <v>56</v>
      </c>
      <c r="N13" s="135">
        <v>5</v>
      </c>
      <c r="O13" s="134"/>
    </row>
    <row r="14" spans="1:21" ht="14.25" x14ac:dyDescent="0.15">
      <c r="A14" s="265"/>
      <c r="B14" s="132"/>
      <c r="C14" s="132" t="s">
        <v>56</v>
      </c>
      <c r="D14" s="132"/>
      <c r="E14" s="56"/>
      <c r="F14" s="56"/>
      <c r="G14" s="132"/>
      <c r="H14" s="135">
        <v>10</v>
      </c>
      <c r="I14" s="132"/>
      <c r="J14" s="132" t="s">
        <v>56</v>
      </c>
      <c r="K14" s="135">
        <v>10</v>
      </c>
      <c r="L14" s="132"/>
      <c r="M14" s="132" t="s">
        <v>121</v>
      </c>
      <c r="N14" s="135">
        <v>10</v>
      </c>
      <c r="O14" s="134"/>
    </row>
    <row r="15" spans="1:21" ht="14.25" x14ac:dyDescent="0.15">
      <c r="A15" s="265"/>
      <c r="B15" s="132"/>
      <c r="C15" s="132" t="s">
        <v>121</v>
      </c>
      <c r="D15" s="132"/>
      <c r="E15" s="56"/>
      <c r="F15" s="56"/>
      <c r="G15" s="132"/>
      <c r="H15" s="135">
        <v>10</v>
      </c>
      <c r="I15" s="132"/>
      <c r="J15" s="132" t="s">
        <v>121</v>
      </c>
      <c r="K15" s="135">
        <v>10</v>
      </c>
      <c r="L15" s="132"/>
      <c r="M15" s="132" t="s">
        <v>126</v>
      </c>
      <c r="N15" s="135">
        <v>10</v>
      </c>
      <c r="O15" s="134"/>
    </row>
    <row r="16" spans="1:21" ht="14.25" x14ac:dyDescent="0.15">
      <c r="A16" s="265"/>
      <c r="B16" s="132"/>
      <c r="C16" s="132" t="s">
        <v>47</v>
      </c>
      <c r="D16" s="132"/>
      <c r="E16" s="56" t="s">
        <v>40</v>
      </c>
      <c r="F16" s="56"/>
      <c r="G16" s="132"/>
      <c r="H16" s="135">
        <v>20</v>
      </c>
      <c r="I16" s="132"/>
      <c r="J16" s="132" t="s">
        <v>47</v>
      </c>
      <c r="K16" s="135">
        <v>15</v>
      </c>
      <c r="L16" s="129"/>
      <c r="M16" s="129"/>
      <c r="N16" s="130"/>
      <c r="O16" s="131"/>
    </row>
    <row r="17" spans="1:15" ht="14.25" x14ac:dyDescent="0.15">
      <c r="A17" s="265"/>
      <c r="B17" s="132"/>
      <c r="C17" s="132"/>
      <c r="D17" s="132"/>
      <c r="E17" s="56"/>
      <c r="F17" s="56"/>
      <c r="G17" s="132" t="s">
        <v>55</v>
      </c>
      <c r="H17" s="135" t="s">
        <v>354</v>
      </c>
      <c r="I17" s="132"/>
      <c r="J17" s="132"/>
      <c r="K17" s="135"/>
      <c r="L17" s="132" t="s">
        <v>364</v>
      </c>
      <c r="M17" s="132" t="s">
        <v>33</v>
      </c>
      <c r="N17" s="135">
        <v>5</v>
      </c>
      <c r="O17" s="134"/>
    </row>
    <row r="18" spans="1:15" ht="14.25" x14ac:dyDescent="0.15">
      <c r="A18" s="265"/>
      <c r="B18" s="132"/>
      <c r="C18" s="132"/>
      <c r="D18" s="132"/>
      <c r="E18" s="56"/>
      <c r="F18" s="56"/>
      <c r="G18" s="132" t="s">
        <v>41</v>
      </c>
      <c r="H18" s="135" t="s">
        <v>356</v>
      </c>
      <c r="I18" s="132"/>
      <c r="J18" s="132"/>
      <c r="K18" s="135"/>
      <c r="L18" s="132"/>
      <c r="M18" s="132" t="s">
        <v>67</v>
      </c>
      <c r="N18" s="133">
        <v>0.1</v>
      </c>
      <c r="O18" s="134"/>
    </row>
    <row r="19" spans="1:15" ht="14.25" x14ac:dyDescent="0.15">
      <c r="A19" s="265"/>
      <c r="B19" s="129"/>
      <c r="C19" s="129"/>
      <c r="D19" s="129"/>
      <c r="E19" s="62"/>
      <c r="F19" s="62"/>
      <c r="G19" s="129"/>
      <c r="H19" s="130"/>
      <c r="I19" s="129"/>
      <c r="J19" s="129"/>
      <c r="K19" s="130"/>
      <c r="L19" s="129"/>
      <c r="M19" s="129"/>
      <c r="N19" s="130"/>
      <c r="O19" s="131"/>
    </row>
    <row r="20" spans="1:15" ht="14.25" x14ac:dyDescent="0.15">
      <c r="A20" s="265"/>
      <c r="B20" s="132" t="s">
        <v>365</v>
      </c>
      <c r="C20" s="132" t="s">
        <v>126</v>
      </c>
      <c r="D20" s="132"/>
      <c r="E20" s="56"/>
      <c r="F20" s="56"/>
      <c r="G20" s="132"/>
      <c r="H20" s="135">
        <v>30</v>
      </c>
      <c r="I20" s="132" t="s">
        <v>365</v>
      </c>
      <c r="J20" s="132" t="s">
        <v>126</v>
      </c>
      <c r="K20" s="135">
        <v>20</v>
      </c>
      <c r="L20" s="132" t="s">
        <v>389</v>
      </c>
      <c r="M20" s="132" t="s">
        <v>62</v>
      </c>
      <c r="N20" s="144">
        <v>0.08</v>
      </c>
      <c r="O20" s="134"/>
    </row>
    <row r="21" spans="1:15" ht="14.25" x14ac:dyDescent="0.15">
      <c r="A21" s="265"/>
      <c r="B21" s="132"/>
      <c r="C21" s="132"/>
      <c r="D21" s="132"/>
      <c r="E21" s="56"/>
      <c r="F21" s="56"/>
      <c r="G21" s="132" t="s">
        <v>25</v>
      </c>
      <c r="H21" s="135" t="s">
        <v>354</v>
      </c>
      <c r="I21" s="132"/>
      <c r="J21" s="132"/>
      <c r="K21" s="135"/>
      <c r="L21" s="132"/>
      <c r="M21" s="132"/>
      <c r="N21" s="135"/>
      <c r="O21" s="134"/>
    </row>
    <row r="22" spans="1:15" ht="14.25" x14ac:dyDescent="0.15">
      <c r="A22" s="265"/>
      <c r="B22" s="129"/>
      <c r="C22" s="129"/>
      <c r="D22" s="129"/>
      <c r="E22" s="62"/>
      <c r="F22" s="62"/>
      <c r="G22" s="129"/>
      <c r="H22" s="130"/>
      <c r="I22" s="129"/>
      <c r="J22" s="129"/>
      <c r="K22" s="130"/>
      <c r="L22" s="132"/>
      <c r="M22" s="132"/>
      <c r="N22" s="135"/>
      <c r="O22" s="134"/>
    </row>
    <row r="23" spans="1:15" ht="14.25" x14ac:dyDescent="0.15">
      <c r="A23" s="265"/>
      <c r="B23" s="132" t="s">
        <v>127</v>
      </c>
      <c r="C23" s="132" t="s">
        <v>33</v>
      </c>
      <c r="D23" s="132"/>
      <c r="E23" s="56"/>
      <c r="F23" s="137"/>
      <c r="G23" s="132"/>
      <c r="H23" s="135">
        <v>5</v>
      </c>
      <c r="I23" s="132" t="s">
        <v>127</v>
      </c>
      <c r="J23" s="132" t="s">
        <v>33</v>
      </c>
      <c r="K23" s="135">
        <v>5</v>
      </c>
      <c r="L23" s="132"/>
      <c r="M23" s="132"/>
      <c r="N23" s="135"/>
      <c r="O23" s="134"/>
    </row>
    <row r="24" spans="1:15" ht="14.25" x14ac:dyDescent="0.15">
      <c r="A24" s="265"/>
      <c r="B24" s="132"/>
      <c r="C24" s="132" t="s">
        <v>67</v>
      </c>
      <c r="D24" s="132"/>
      <c r="E24" s="56"/>
      <c r="F24" s="56"/>
      <c r="G24" s="132"/>
      <c r="H24" s="133">
        <v>0.1</v>
      </c>
      <c r="I24" s="132"/>
      <c r="J24" s="132" t="s">
        <v>67</v>
      </c>
      <c r="K24" s="133">
        <v>0.1</v>
      </c>
      <c r="L24" s="132"/>
      <c r="M24" s="132"/>
      <c r="N24" s="135"/>
      <c r="O24" s="134"/>
    </row>
    <row r="25" spans="1:15" ht="14.25" x14ac:dyDescent="0.15">
      <c r="A25" s="265"/>
      <c r="B25" s="132"/>
      <c r="C25" s="132"/>
      <c r="D25" s="132"/>
      <c r="E25" s="56"/>
      <c r="F25" s="56"/>
      <c r="G25" s="132" t="s">
        <v>55</v>
      </c>
      <c r="H25" s="135" t="s">
        <v>354</v>
      </c>
      <c r="I25" s="132"/>
      <c r="J25" s="132"/>
      <c r="K25" s="135"/>
      <c r="L25" s="132"/>
      <c r="M25" s="132"/>
      <c r="N25" s="135"/>
      <c r="O25" s="134"/>
    </row>
    <row r="26" spans="1:15" ht="14.25" x14ac:dyDescent="0.15">
      <c r="A26" s="265"/>
      <c r="B26" s="129"/>
      <c r="C26" s="129"/>
      <c r="D26" s="129"/>
      <c r="E26" s="62"/>
      <c r="F26" s="62"/>
      <c r="G26" s="129"/>
      <c r="H26" s="130"/>
      <c r="I26" s="129"/>
      <c r="J26" s="129"/>
      <c r="K26" s="130"/>
      <c r="L26" s="132"/>
      <c r="M26" s="132"/>
      <c r="N26" s="135"/>
      <c r="O26" s="134"/>
    </row>
    <row r="27" spans="1:15" ht="14.25" x14ac:dyDescent="0.15">
      <c r="A27" s="265"/>
      <c r="B27" s="132" t="s">
        <v>60</v>
      </c>
      <c r="C27" s="132" t="s">
        <v>62</v>
      </c>
      <c r="D27" s="132"/>
      <c r="E27" s="56"/>
      <c r="F27" s="56"/>
      <c r="G27" s="132"/>
      <c r="H27" s="133">
        <v>0.1</v>
      </c>
      <c r="I27" s="132" t="s">
        <v>60</v>
      </c>
      <c r="J27" s="132" t="s">
        <v>62</v>
      </c>
      <c r="K27" s="133">
        <v>0.1</v>
      </c>
      <c r="L27" s="132"/>
      <c r="M27" s="132"/>
      <c r="N27" s="135"/>
      <c r="O27" s="134"/>
    </row>
    <row r="28" spans="1:15" ht="15" thickBot="1" x14ac:dyDescent="0.2">
      <c r="A28" s="266"/>
      <c r="B28" s="139"/>
      <c r="C28" s="139"/>
      <c r="D28" s="139"/>
      <c r="E28" s="69"/>
      <c r="F28" s="69"/>
      <c r="G28" s="139"/>
      <c r="H28" s="140"/>
      <c r="I28" s="139"/>
      <c r="J28" s="139"/>
      <c r="K28" s="140"/>
      <c r="L28" s="139"/>
      <c r="M28" s="139"/>
      <c r="N28" s="140"/>
      <c r="O28" s="141"/>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row r="57" spans="2:14" ht="14.25" x14ac:dyDescent="0.15">
      <c r="B57" s="105"/>
      <c r="C57" s="105"/>
      <c r="D57" s="105"/>
      <c r="G57" s="105"/>
      <c r="H57" s="142"/>
      <c r="I57" s="105"/>
      <c r="J57" s="105"/>
      <c r="K57" s="142"/>
      <c r="L57" s="105"/>
      <c r="M57" s="105"/>
      <c r="N57" s="142"/>
    </row>
    <row r="58" spans="2:14" ht="14.25" x14ac:dyDescent="0.15">
      <c r="B58" s="105"/>
      <c r="C58" s="105"/>
      <c r="D58" s="105"/>
      <c r="G58" s="105"/>
      <c r="H58" s="142"/>
      <c r="I58" s="105"/>
      <c r="J58" s="105"/>
      <c r="K58" s="142"/>
      <c r="L58" s="105"/>
      <c r="M58" s="105"/>
      <c r="N58" s="142"/>
    </row>
    <row r="59" spans="2:14" ht="14.25" x14ac:dyDescent="0.15">
      <c r="B59" s="105"/>
      <c r="C59" s="105"/>
      <c r="D59" s="105"/>
      <c r="G59" s="105"/>
      <c r="H59" s="142"/>
      <c r="I59" s="105"/>
      <c r="J59" s="105"/>
      <c r="K59" s="142"/>
      <c r="L59" s="105"/>
      <c r="M59" s="105"/>
      <c r="N59" s="142"/>
    </row>
    <row r="60" spans="2:14" ht="14.25" x14ac:dyDescent="0.15">
      <c r="B60" s="105"/>
      <c r="C60" s="105"/>
      <c r="D60" s="105"/>
      <c r="G60" s="105"/>
      <c r="H60" s="142"/>
      <c r="I60" s="105"/>
      <c r="J60" s="105"/>
      <c r="K60" s="142"/>
      <c r="L60" s="105"/>
      <c r="M60" s="105"/>
      <c r="N60" s="142"/>
    </row>
  </sheetData>
  <mergeCells count="15">
    <mergeCell ref="L8:N8"/>
    <mergeCell ref="O8:O10"/>
    <mergeCell ref="I9:K9"/>
    <mergeCell ref="L9:N9"/>
    <mergeCell ref="A11:A28"/>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218</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135</v>
      </c>
      <c r="C10" s="48" t="s">
        <v>139</v>
      </c>
      <c r="D10" s="49" t="s">
        <v>27</v>
      </c>
      <c r="E10" s="54">
        <v>40</v>
      </c>
      <c r="F10" s="51" t="s">
        <v>29</v>
      </c>
      <c r="G10" s="84"/>
      <c r="H10" s="88" t="s">
        <v>139</v>
      </c>
      <c r="I10" s="49" t="s">
        <v>27</v>
      </c>
      <c r="J10" s="51">
        <f>ROUNDUP(E10*0.75,2)</f>
        <v>30</v>
      </c>
      <c r="K10" s="51" t="s">
        <v>29</v>
      </c>
      <c r="L10" s="51"/>
      <c r="M10" s="51">
        <f>ROUNDUP((R5*E10)+(R6*J10)+(R7*(E10*2)),2)</f>
        <v>0</v>
      </c>
      <c r="N10" s="92">
        <f>M10</f>
        <v>0</v>
      </c>
      <c r="O10" s="80" t="s">
        <v>136</v>
      </c>
      <c r="P10" s="52" t="s">
        <v>39</v>
      </c>
      <c r="Q10" s="49" t="s">
        <v>40</v>
      </c>
      <c r="R10" s="53">
        <v>2</v>
      </c>
      <c r="S10" s="54">
        <f t="shared" ref="S10:S17" si="0">ROUNDUP(R10*0.75,2)</f>
        <v>1.5</v>
      </c>
      <c r="T10" s="76">
        <f>ROUNDUP((R5*R10)+(R6*S10)+(R7*(R10*2)),2)</f>
        <v>0</v>
      </c>
    </row>
    <row r="11" spans="1:21" ht="18.75" customHeight="1" x14ac:dyDescent="0.15">
      <c r="A11" s="242"/>
      <c r="B11" s="81"/>
      <c r="C11" s="55" t="s">
        <v>56</v>
      </c>
      <c r="D11" s="56"/>
      <c r="E11" s="57">
        <v>30</v>
      </c>
      <c r="F11" s="58" t="s">
        <v>29</v>
      </c>
      <c r="G11" s="85"/>
      <c r="H11" s="89" t="s">
        <v>56</v>
      </c>
      <c r="I11" s="56"/>
      <c r="J11" s="58">
        <f>ROUNDUP(E11*0.75,2)</f>
        <v>22.5</v>
      </c>
      <c r="K11" s="58" t="s">
        <v>29</v>
      </c>
      <c r="L11" s="58"/>
      <c r="M11" s="58">
        <f>ROUNDUP((R5*E11)+(R6*J11)+(R7*(E11*2)),2)</f>
        <v>0</v>
      </c>
      <c r="N11" s="93">
        <f>ROUND(M11+(M11*6/100),2)</f>
        <v>0</v>
      </c>
      <c r="O11" s="81" t="s">
        <v>137</v>
      </c>
      <c r="P11" s="59" t="s">
        <v>54</v>
      </c>
      <c r="Q11" s="56"/>
      <c r="R11" s="60">
        <v>2</v>
      </c>
      <c r="S11" s="57">
        <f t="shared" si="0"/>
        <v>1.5</v>
      </c>
      <c r="T11" s="77">
        <f>ROUNDUP((R5*R11)+(R6*S11)+(R7*(R11*2)),2)</f>
        <v>0</v>
      </c>
    </row>
    <row r="12" spans="1:21" ht="18.75" customHeight="1" x14ac:dyDescent="0.15">
      <c r="A12" s="242"/>
      <c r="B12" s="81"/>
      <c r="C12" s="55" t="s">
        <v>33</v>
      </c>
      <c r="D12" s="56"/>
      <c r="E12" s="57">
        <v>10</v>
      </c>
      <c r="F12" s="58" t="s">
        <v>29</v>
      </c>
      <c r="G12" s="85"/>
      <c r="H12" s="89" t="s">
        <v>33</v>
      </c>
      <c r="I12" s="56"/>
      <c r="J12" s="58">
        <f>ROUNDUP(E12*0.75,2)</f>
        <v>7.5</v>
      </c>
      <c r="K12" s="58" t="s">
        <v>29</v>
      </c>
      <c r="L12" s="58"/>
      <c r="M12" s="58">
        <f>ROUNDUP((R5*E12)+(R6*J12)+(R7*(E12*2)),2)</f>
        <v>0</v>
      </c>
      <c r="N12" s="93">
        <f>ROUND(M12+(M12*10/100),2)</f>
        <v>0</v>
      </c>
      <c r="O12" s="100" t="s">
        <v>255</v>
      </c>
      <c r="P12" s="59" t="s">
        <v>49</v>
      </c>
      <c r="Q12" s="56" t="s">
        <v>27</v>
      </c>
      <c r="R12" s="60">
        <v>2</v>
      </c>
      <c r="S12" s="57">
        <f t="shared" si="0"/>
        <v>1.5</v>
      </c>
      <c r="T12" s="77">
        <f>ROUNDUP((R5*R12)+(R6*S12)+(R7*(R12*2)),2)</f>
        <v>0</v>
      </c>
    </row>
    <row r="13" spans="1:21" ht="18.75" customHeight="1" x14ac:dyDescent="0.15">
      <c r="A13" s="242"/>
      <c r="B13" s="81"/>
      <c r="C13" s="55" t="s">
        <v>130</v>
      </c>
      <c r="D13" s="56"/>
      <c r="E13" s="57">
        <v>40</v>
      </c>
      <c r="F13" s="58" t="s">
        <v>29</v>
      </c>
      <c r="G13" s="85"/>
      <c r="H13" s="89" t="s">
        <v>130</v>
      </c>
      <c r="I13" s="56"/>
      <c r="J13" s="58">
        <f>ROUNDUP(E13*0.75,2)</f>
        <v>30</v>
      </c>
      <c r="K13" s="58" t="s">
        <v>29</v>
      </c>
      <c r="L13" s="58"/>
      <c r="M13" s="58">
        <f>ROUNDUP((R5*E13)+(R6*J13)+(R7*(E13*2)),2)</f>
        <v>0</v>
      </c>
      <c r="N13" s="93">
        <f>M13</f>
        <v>0</v>
      </c>
      <c r="O13" s="36" t="s">
        <v>256</v>
      </c>
      <c r="P13" s="59" t="s">
        <v>55</v>
      </c>
      <c r="Q13" s="56"/>
      <c r="R13" s="60">
        <v>30</v>
      </c>
      <c r="S13" s="57">
        <f t="shared" si="0"/>
        <v>22.5</v>
      </c>
      <c r="T13" s="77">
        <f>ROUNDUP((R5*R13)+(R6*S13)+(R7*(R13*2)),2)</f>
        <v>0</v>
      </c>
    </row>
    <row r="14" spans="1:21" ht="18.75" customHeight="1" x14ac:dyDescent="0.15">
      <c r="A14" s="242"/>
      <c r="B14" s="81"/>
      <c r="C14" s="55" t="s">
        <v>140</v>
      </c>
      <c r="D14" s="56"/>
      <c r="E14" s="57">
        <v>5</v>
      </c>
      <c r="F14" s="58" t="s">
        <v>29</v>
      </c>
      <c r="G14" s="85"/>
      <c r="H14" s="89" t="s">
        <v>140</v>
      </c>
      <c r="I14" s="56"/>
      <c r="J14" s="58">
        <f>ROUNDUP(E14*0.75,2)</f>
        <v>3.75</v>
      </c>
      <c r="K14" s="58" t="s">
        <v>29</v>
      </c>
      <c r="L14" s="58"/>
      <c r="M14" s="58">
        <f>ROUNDUP((R5*E14)+(R6*J14)+(R7*(E14*2)),2)</f>
        <v>0</v>
      </c>
      <c r="N14" s="93">
        <f>M14</f>
        <v>0</v>
      </c>
      <c r="O14" s="81" t="s">
        <v>138</v>
      </c>
      <c r="P14" s="59" t="s">
        <v>30</v>
      </c>
      <c r="Q14" s="56"/>
      <c r="R14" s="60">
        <v>1</v>
      </c>
      <c r="S14" s="57">
        <f t="shared" si="0"/>
        <v>0.75</v>
      </c>
      <c r="T14" s="77">
        <f>ROUNDUP((R5*R14)+(R6*S14)+(R7*(R14*2)),2)</f>
        <v>0</v>
      </c>
    </row>
    <row r="15" spans="1:21" ht="18.75" customHeight="1" x14ac:dyDescent="0.15">
      <c r="A15" s="242"/>
      <c r="B15" s="81"/>
      <c r="C15" s="55"/>
      <c r="D15" s="56"/>
      <c r="E15" s="57"/>
      <c r="F15" s="58"/>
      <c r="G15" s="85"/>
      <c r="H15" s="89"/>
      <c r="I15" s="56"/>
      <c r="J15" s="58"/>
      <c r="K15" s="58"/>
      <c r="L15" s="58"/>
      <c r="M15" s="58"/>
      <c r="N15" s="93"/>
      <c r="O15" s="81" t="s">
        <v>28</v>
      </c>
      <c r="P15" s="59" t="s">
        <v>57</v>
      </c>
      <c r="Q15" s="56"/>
      <c r="R15" s="60">
        <v>15</v>
      </c>
      <c r="S15" s="57">
        <f t="shared" si="0"/>
        <v>11.25</v>
      </c>
      <c r="T15" s="77">
        <f>ROUNDUP((R5*R15)+(R6*S15)+(R7*(R15*2)),2)</f>
        <v>0</v>
      </c>
    </row>
    <row r="16" spans="1:21" ht="18.75" customHeight="1" x14ac:dyDescent="0.15">
      <c r="A16" s="242"/>
      <c r="B16" s="81"/>
      <c r="C16" s="55"/>
      <c r="D16" s="56"/>
      <c r="E16" s="57"/>
      <c r="F16" s="58"/>
      <c r="G16" s="85"/>
      <c r="H16" s="89"/>
      <c r="I16" s="56"/>
      <c r="J16" s="58"/>
      <c r="K16" s="58"/>
      <c r="L16" s="58"/>
      <c r="M16" s="58"/>
      <c r="N16" s="93"/>
      <c r="O16" s="81"/>
      <c r="P16" s="59" t="s">
        <v>86</v>
      </c>
      <c r="Q16" s="56"/>
      <c r="R16" s="60">
        <v>2</v>
      </c>
      <c r="S16" s="57">
        <f t="shared" si="0"/>
        <v>1.5</v>
      </c>
      <c r="T16" s="77">
        <f>ROUNDUP((R5*R16)+(R6*S16)+(R7*(R16*2)),2)</f>
        <v>0</v>
      </c>
    </row>
    <row r="17" spans="1:20" ht="18.75" customHeight="1" x14ac:dyDescent="0.15">
      <c r="A17" s="242"/>
      <c r="B17" s="81"/>
      <c r="C17" s="55"/>
      <c r="D17" s="56"/>
      <c r="E17" s="57"/>
      <c r="F17" s="58"/>
      <c r="G17" s="85"/>
      <c r="H17" s="89"/>
      <c r="I17" s="56"/>
      <c r="J17" s="58"/>
      <c r="K17" s="58"/>
      <c r="L17" s="58"/>
      <c r="M17" s="58"/>
      <c r="N17" s="93"/>
      <c r="O17" s="81"/>
      <c r="P17" s="59" t="s">
        <v>50</v>
      </c>
      <c r="Q17" s="56"/>
      <c r="R17" s="60">
        <v>0.5</v>
      </c>
      <c r="S17" s="57">
        <f t="shared" si="0"/>
        <v>0.38</v>
      </c>
      <c r="T17" s="77">
        <f>ROUNDUP((R5*R17)+(R6*S17)+(R7*(R17*2)),2)</f>
        <v>0</v>
      </c>
    </row>
    <row r="18" spans="1:20" ht="18.75" customHeight="1" x14ac:dyDescent="0.15">
      <c r="A18" s="242"/>
      <c r="B18" s="82"/>
      <c r="C18" s="61"/>
      <c r="D18" s="62"/>
      <c r="E18" s="63"/>
      <c r="F18" s="64"/>
      <c r="G18" s="86"/>
      <c r="H18" s="90"/>
      <c r="I18" s="62"/>
      <c r="J18" s="64"/>
      <c r="K18" s="64"/>
      <c r="L18" s="64"/>
      <c r="M18" s="64"/>
      <c r="N18" s="94"/>
      <c r="O18" s="82"/>
      <c r="P18" s="65"/>
      <c r="Q18" s="62"/>
      <c r="R18" s="66"/>
      <c r="S18" s="63"/>
      <c r="T18" s="78"/>
    </row>
    <row r="19" spans="1:20" ht="18.75" customHeight="1" x14ac:dyDescent="0.15">
      <c r="A19" s="242"/>
      <c r="B19" s="81" t="s">
        <v>259</v>
      </c>
      <c r="C19" s="55" t="s">
        <v>32</v>
      </c>
      <c r="D19" s="56"/>
      <c r="E19" s="57">
        <v>20</v>
      </c>
      <c r="F19" s="58" t="s">
        <v>29</v>
      </c>
      <c r="G19" s="85"/>
      <c r="H19" s="89" t="s">
        <v>32</v>
      </c>
      <c r="I19" s="56"/>
      <c r="J19" s="58">
        <f>ROUNDUP(E19*0.75,2)</f>
        <v>15</v>
      </c>
      <c r="K19" s="58" t="s">
        <v>29</v>
      </c>
      <c r="L19" s="58"/>
      <c r="M19" s="58">
        <f>ROUNDUP((R5*E19)+(R6*J19)+(R7*(E19*2)),2)</f>
        <v>0</v>
      </c>
      <c r="N19" s="93">
        <f>ROUND(M19+(M19*15/100),2)</f>
        <v>0</v>
      </c>
      <c r="O19" s="100" t="s">
        <v>257</v>
      </c>
      <c r="P19" s="59" t="s">
        <v>78</v>
      </c>
      <c r="Q19" s="56" t="s">
        <v>79</v>
      </c>
      <c r="R19" s="60">
        <v>4</v>
      </c>
      <c r="S19" s="57">
        <f>ROUNDUP(R19*0.75,2)</f>
        <v>3</v>
      </c>
      <c r="T19" s="77">
        <f>ROUNDUP((R5*R19)+(R6*S19)+(R7*(R19*2)),2)</f>
        <v>0</v>
      </c>
    </row>
    <row r="20" spans="1:20" ht="18.75" customHeight="1" x14ac:dyDescent="0.15">
      <c r="A20" s="242"/>
      <c r="B20" s="101" t="s">
        <v>260</v>
      </c>
      <c r="C20" s="55" t="s">
        <v>142</v>
      </c>
      <c r="D20" s="56"/>
      <c r="E20" s="57">
        <v>10</v>
      </c>
      <c r="F20" s="58" t="s">
        <v>29</v>
      </c>
      <c r="G20" s="85"/>
      <c r="H20" s="89" t="s">
        <v>142</v>
      </c>
      <c r="I20" s="56"/>
      <c r="J20" s="58">
        <f>ROUNDUP(E20*0.75,2)</f>
        <v>7.5</v>
      </c>
      <c r="K20" s="58" t="s">
        <v>29</v>
      </c>
      <c r="L20" s="58"/>
      <c r="M20" s="58">
        <f>ROUNDUP((R5*E20)+(R6*J20)+(R7*(E20*2)),2)</f>
        <v>0</v>
      </c>
      <c r="N20" s="93"/>
      <c r="O20" s="36" t="s">
        <v>258</v>
      </c>
      <c r="P20" s="59" t="s">
        <v>50</v>
      </c>
      <c r="Q20" s="56"/>
      <c r="R20" s="60">
        <v>0.3</v>
      </c>
      <c r="S20" s="57">
        <f>ROUNDUP(R20*0.75,2)</f>
        <v>0.23</v>
      </c>
      <c r="T20" s="77">
        <f>ROUNDUP((R5*R20)+(R6*S20)+(R7*(R20*2)),2)</f>
        <v>0</v>
      </c>
    </row>
    <row r="21" spans="1:20" ht="18.75" customHeight="1" x14ac:dyDescent="0.15">
      <c r="A21" s="242"/>
      <c r="B21" s="81"/>
      <c r="C21" s="55" t="s">
        <v>77</v>
      </c>
      <c r="D21" s="56"/>
      <c r="E21" s="57">
        <v>10</v>
      </c>
      <c r="F21" s="58" t="s">
        <v>29</v>
      </c>
      <c r="G21" s="85"/>
      <c r="H21" s="89" t="s">
        <v>77</v>
      </c>
      <c r="I21" s="56"/>
      <c r="J21" s="58">
        <f>ROUNDUP(E21*0.75,2)</f>
        <v>7.5</v>
      </c>
      <c r="K21" s="58" t="s">
        <v>29</v>
      </c>
      <c r="L21" s="58"/>
      <c r="M21" s="58">
        <f>ROUNDUP((R5*E21)+(R6*J21)+(R7*(E21*2)),2)</f>
        <v>0</v>
      </c>
      <c r="N21" s="93">
        <f>M21</f>
        <v>0</v>
      </c>
      <c r="O21" s="81" t="s">
        <v>141</v>
      </c>
      <c r="P21" s="59" t="s">
        <v>41</v>
      </c>
      <c r="Q21" s="56"/>
      <c r="R21" s="60">
        <v>0.1</v>
      </c>
      <c r="S21" s="57">
        <f>ROUNDUP(R21*0.75,2)</f>
        <v>0.08</v>
      </c>
      <c r="T21" s="77">
        <f>ROUNDUP((R5*R21)+(R6*S21)+(R7*(R21*2)),2)</f>
        <v>0</v>
      </c>
    </row>
    <row r="22" spans="1:20" ht="18.75" customHeight="1" x14ac:dyDescent="0.15">
      <c r="A22" s="242"/>
      <c r="B22" s="81"/>
      <c r="C22" s="55" t="s">
        <v>36</v>
      </c>
      <c r="D22" s="56" t="s">
        <v>37</v>
      </c>
      <c r="E22" s="67">
        <v>0.5</v>
      </c>
      <c r="F22" s="58" t="s">
        <v>38</v>
      </c>
      <c r="G22" s="85"/>
      <c r="H22" s="89" t="s">
        <v>36</v>
      </c>
      <c r="I22" s="56" t="s">
        <v>37</v>
      </c>
      <c r="J22" s="58">
        <f>ROUNDUP(E22*0.75,2)</f>
        <v>0.38</v>
      </c>
      <c r="K22" s="58" t="s">
        <v>38</v>
      </c>
      <c r="L22" s="58"/>
      <c r="M22" s="58">
        <f>ROUNDUP((R5*E22)+(R6*J22)+(R7*(E22*2)),2)</f>
        <v>0</v>
      </c>
      <c r="N22" s="93">
        <f>M22</f>
        <v>0</v>
      </c>
      <c r="O22" s="81" t="s">
        <v>28</v>
      </c>
      <c r="P22" s="59"/>
      <c r="Q22" s="56"/>
      <c r="R22" s="60"/>
      <c r="S22" s="57"/>
      <c r="T22" s="77"/>
    </row>
    <row r="23" spans="1:20" ht="18.75" customHeight="1" x14ac:dyDescent="0.15">
      <c r="A23" s="242"/>
      <c r="B23" s="82"/>
      <c r="C23" s="61"/>
      <c r="D23" s="62"/>
      <c r="E23" s="63"/>
      <c r="F23" s="64"/>
      <c r="G23" s="86"/>
      <c r="H23" s="90"/>
      <c r="I23" s="62"/>
      <c r="J23" s="64"/>
      <c r="K23" s="64"/>
      <c r="L23" s="64"/>
      <c r="M23" s="64"/>
      <c r="N23" s="94"/>
      <c r="O23" s="82"/>
      <c r="P23" s="65"/>
      <c r="Q23" s="62"/>
      <c r="R23" s="66"/>
      <c r="S23" s="63"/>
      <c r="T23" s="78"/>
    </row>
    <row r="24" spans="1:20" ht="18.75" customHeight="1" x14ac:dyDescent="0.15">
      <c r="A24" s="242"/>
      <c r="B24" s="81" t="s">
        <v>127</v>
      </c>
      <c r="C24" s="55" t="s">
        <v>76</v>
      </c>
      <c r="D24" s="56"/>
      <c r="E24" s="57">
        <v>20</v>
      </c>
      <c r="F24" s="58" t="s">
        <v>29</v>
      </c>
      <c r="G24" s="85"/>
      <c r="H24" s="89" t="s">
        <v>76</v>
      </c>
      <c r="I24" s="56"/>
      <c r="J24" s="58">
        <f>ROUNDUP(E24*0.75,2)</f>
        <v>15</v>
      </c>
      <c r="K24" s="58" t="s">
        <v>29</v>
      </c>
      <c r="L24" s="58"/>
      <c r="M24" s="58">
        <f>ROUNDUP((R5*E24)+(R6*J24)+(R7*(E24*2)),2)</f>
        <v>0</v>
      </c>
      <c r="N24" s="93">
        <f>ROUND(M24+(M24*6/100),2)</f>
        <v>0</v>
      </c>
      <c r="O24" s="81" t="s">
        <v>28</v>
      </c>
      <c r="P24" s="59" t="s">
        <v>55</v>
      </c>
      <c r="Q24" s="56"/>
      <c r="R24" s="60">
        <v>100</v>
      </c>
      <c r="S24" s="57">
        <f>ROUNDUP(R24*0.75,2)</f>
        <v>75</v>
      </c>
      <c r="T24" s="77">
        <f>ROUNDUP((R5*R24)+(R6*S24)+(R7*(R24*2)),2)</f>
        <v>0</v>
      </c>
    </row>
    <row r="25" spans="1:20" ht="18.75" customHeight="1" x14ac:dyDescent="0.15">
      <c r="A25" s="242"/>
      <c r="B25" s="81"/>
      <c r="C25" s="55" t="s">
        <v>102</v>
      </c>
      <c r="D25" s="56"/>
      <c r="E25" s="57">
        <v>5</v>
      </c>
      <c r="F25" s="58" t="s">
        <v>29</v>
      </c>
      <c r="G25" s="85"/>
      <c r="H25" s="89" t="s">
        <v>102</v>
      </c>
      <c r="I25" s="56"/>
      <c r="J25" s="58">
        <f>ROUNDUP(E25*0.75,2)</f>
        <v>3.75</v>
      </c>
      <c r="K25" s="58" t="s">
        <v>29</v>
      </c>
      <c r="L25" s="58"/>
      <c r="M25" s="58">
        <f>ROUNDUP((R5*E25)+(R6*J25)+(R7*(E25*2)),2)</f>
        <v>0</v>
      </c>
      <c r="N25" s="93">
        <f>M25</f>
        <v>0</v>
      </c>
      <c r="O25" s="81"/>
      <c r="P25" s="59" t="s">
        <v>41</v>
      </c>
      <c r="Q25" s="56"/>
      <c r="R25" s="60">
        <v>0.1</v>
      </c>
      <c r="S25" s="57">
        <f>ROUNDUP(R25*0.75,2)</f>
        <v>0.08</v>
      </c>
      <c r="T25" s="77">
        <f>ROUNDUP((R5*R25)+(R6*S25)+(R7*(R25*2)),2)</f>
        <v>0</v>
      </c>
    </row>
    <row r="26" spans="1:20" ht="18.75" customHeight="1" x14ac:dyDescent="0.15">
      <c r="A26" s="242"/>
      <c r="B26" s="81"/>
      <c r="C26" s="55"/>
      <c r="D26" s="56"/>
      <c r="E26" s="57"/>
      <c r="F26" s="58"/>
      <c r="G26" s="85"/>
      <c r="H26" s="89"/>
      <c r="I26" s="56"/>
      <c r="J26" s="58"/>
      <c r="K26" s="58"/>
      <c r="L26" s="58"/>
      <c r="M26" s="58"/>
      <c r="N26" s="93"/>
      <c r="O26" s="81"/>
      <c r="P26" s="59" t="s">
        <v>128</v>
      </c>
      <c r="Q26" s="56" t="s">
        <v>129</v>
      </c>
      <c r="R26" s="60">
        <v>0.5</v>
      </c>
      <c r="S26" s="57">
        <f>ROUNDUP(R26*0.75,2)</f>
        <v>0.38</v>
      </c>
      <c r="T26" s="77">
        <f>ROUNDUP((R5*R26)+(R6*S26)+(R7*(R26*2)),2)</f>
        <v>0</v>
      </c>
    </row>
    <row r="27" spans="1:20" ht="18.75" customHeight="1" thickBot="1" x14ac:dyDescent="0.2">
      <c r="A27" s="243"/>
      <c r="B27" s="83"/>
      <c r="C27" s="68"/>
      <c r="D27" s="69"/>
      <c r="E27" s="70"/>
      <c r="F27" s="71"/>
      <c r="G27" s="87"/>
      <c r="H27" s="91"/>
      <c r="I27" s="69"/>
      <c r="J27" s="71"/>
      <c r="K27" s="71"/>
      <c r="L27" s="71"/>
      <c r="M27" s="71"/>
      <c r="N27" s="95"/>
      <c r="O27" s="83"/>
      <c r="P27" s="72"/>
      <c r="Q27" s="69"/>
      <c r="R27" s="73"/>
      <c r="S27" s="70"/>
      <c r="T27" s="79"/>
    </row>
  </sheetData>
  <mergeCells count="5">
    <mergeCell ref="H1:O1"/>
    <mergeCell ref="A2:T2"/>
    <mergeCell ref="Q3:T3"/>
    <mergeCell ref="A8:F8"/>
    <mergeCell ref="A10:A27"/>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421</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368</v>
      </c>
      <c r="C13" s="132" t="s">
        <v>130</v>
      </c>
      <c r="D13" s="132"/>
      <c r="E13" s="56"/>
      <c r="F13" s="56"/>
      <c r="G13" s="132"/>
      <c r="H13" s="135">
        <v>20</v>
      </c>
      <c r="I13" s="132" t="s">
        <v>369</v>
      </c>
      <c r="J13" s="136" t="s">
        <v>370</v>
      </c>
      <c r="K13" s="135">
        <v>15</v>
      </c>
      <c r="L13" s="132" t="s">
        <v>371</v>
      </c>
      <c r="M13" s="132" t="s">
        <v>56</v>
      </c>
      <c r="N13" s="135">
        <v>5</v>
      </c>
      <c r="O13" s="134"/>
    </row>
    <row r="14" spans="1:21" ht="14.25" x14ac:dyDescent="0.15">
      <c r="A14" s="265"/>
      <c r="B14" s="132"/>
      <c r="C14" s="132" t="s">
        <v>56</v>
      </c>
      <c r="D14" s="132"/>
      <c r="E14" s="56"/>
      <c r="F14" s="56"/>
      <c r="G14" s="132"/>
      <c r="H14" s="135">
        <v>10</v>
      </c>
      <c r="I14" s="132"/>
      <c r="J14" s="132" t="s">
        <v>56</v>
      </c>
      <c r="K14" s="135">
        <v>10</v>
      </c>
      <c r="L14" s="132"/>
      <c r="M14" s="132" t="s">
        <v>33</v>
      </c>
      <c r="N14" s="135">
        <v>5</v>
      </c>
      <c r="O14" s="134"/>
    </row>
    <row r="15" spans="1:21" ht="14.25" x14ac:dyDescent="0.15">
      <c r="A15" s="265"/>
      <c r="B15" s="132"/>
      <c r="C15" s="132" t="s">
        <v>33</v>
      </c>
      <c r="D15" s="132"/>
      <c r="E15" s="56"/>
      <c r="F15" s="56"/>
      <c r="G15" s="132"/>
      <c r="H15" s="135">
        <v>5</v>
      </c>
      <c r="I15" s="132"/>
      <c r="J15" s="132" t="s">
        <v>33</v>
      </c>
      <c r="K15" s="135">
        <v>5</v>
      </c>
      <c r="L15" s="129"/>
      <c r="M15" s="129"/>
      <c r="N15" s="130"/>
      <c r="O15" s="131"/>
    </row>
    <row r="16" spans="1:21" ht="14.25" x14ac:dyDescent="0.15">
      <c r="A16" s="265"/>
      <c r="B16" s="132"/>
      <c r="C16" s="132"/>
      <c r="D16" s="132"/>
      <c r="E16" s="56"/>
      <c r="F16" s="56"/>
      <c r="G16" s="132" t="s">
        <v>25</v>
      </c>
      <c r="H16" s="135" t="s">
        <v>354</v>
      </c>
      <c r="I16" s="132"/>
      <c r="J16" s="132"/>
      <c r="K16" s="135"/>
      <c r="L16" s="132" t="s">
        <v>372</v>
      </c>
      <c r="M16" s="132" t="s">
        <v>32</v>
      </c>
      <c r="N16" s="135">
        <v>5</v>
      </c>
      <c r="O16" s="134"/>
    </row>
    <row r="17" spans="1:15" ht="14.25" x14ac:dyDescent="0.15">
      <c r="A17" s="265"/>
      <c r="B17" s="132"/>
      <c r="C17" s="132"/>
      <c r="D17" s="132"/>
      <c r="E17" s="56"/>
      <c r="F17" s="56"/>
      <c r="G17" s="132" t="s">
        <v>50</v>
      </c>
      <c r="H17" s="135" t="s">
        <v>356</v>
      </c>
      <c r="I17" s="132"/>
      <c r="J17" s="132"/>
      <c r="K17" s="135"/>
      <c r="L17" s="132"/>
      <c r="M17" s="132" t="s">
        <v>142</v>
      </c>
      <c r="N17" s="135">
        <v>5</v>
      </c>
      <c r="O17" s="134"/>
    </row>
    <row r="18" spans="1:15" ht="14.25" x14ac:dyDescent="0.15">
      <c r="A18" s="265"/>
      <c r="B18" s="132"/>
      <c r="C18" s="132"/>
      <c r="D18" s="132"/>
      <c r="E18" s="56"/>
      <c r="F18" s="56" t="s">
        <v>27</v>
      </c>
      <c r="G18" s="132" t="s">
        <v>26</v>
      </c>
      <c r="H18" s="135" t="s">
        <v>356</v>
      </c>
      <c r="I18" s="132"/>
      <c r="J18" s="132"/>
      <c r="K18" s="135"/>
      <c r="L18" s="129"/>
      <c r="M18" s="129"/>
      <c r="N18" s="130"/>
      <c r="O18" s="131"/>
    </row>
    <row r="19" spans="1:15" ht="14.25" x14ac:dyDescent="0.15">
      <c r="A19" s="265"/>
      <c r="B19" s="129"/>
      <c r="C19" s="129"/>
      <c r="D19" s="129"/>
      <c r="E19" s="62"/>
      <c r="F19" s="62"/>
      <c r="G19" s="129"/>
      <c r="H19" s="130"/>
      <c r="I19" s="129"/>
      <c r="J19" s="129"/>
      <c r="K19" s="130"/>
      <c r="L19" s="132" t="s">
        <v>373</v>
      </c>
      <c r="M19" s="132" t="s">
        <v>76</v>
      </c>
      <c r="N19" s="135">
        <v>10</v>
      </c>
      <c r="O19" s="134"/>
    </row>
    <row r="20" spans="1:15" ht="14.25" x14ac:dyDescent="0.15">
      <c r="A20" s="265"/>
      <c r="B20" s="132" t="s">
        <v>374</v>
      </c>
      <c r="C20" s="132" t="s">
        <v>32</v>
      </c>
      <c r="D20" s="132"/>
      <c r="E20" s="56"/>
      <c r="F20" s="56"/>
      <c r="G20" s="132"/>
      <c r="H20" s="135">
        <v>10</v>
      </c>
      <c r="I20" s="132" t="s">
        <v>374</v>
      </c>
      <c r="J20" s="132" t="s">
        <v>32</v>
      </c>
      <c r="K20" s="135">
        <v>10</v>
      </c>
      <c r="L20" s="132"/>
      <c r="M20" s="132"/>
      <c r="N20" s="135"/>
      <c r="O20" s="134"/>
    </row>
    <row r="21" spans="1:15" ht="14.25" x14ac:dyDescent="0.15">
      <c r="A21" s="265"/>
      <c r="B21" s="132"/>
      <c r="C21" s="132" t="s">
        <v>142</v>
      </c>
      <c r="D21" s="132"/>
      <c r="E21" s="56"/>
      <c r="F21" s="56"/>
      <c r="G21" s="132"/>
      <c r="H21" s="135">
        <v>10</v>
      </c>
      <c r="I21" s="132"/>
      <c r="J21" s="132" t="s">
        <v>142</v>
      </c>
      <c r="K21" s="135">
        <v>5</v>
      </c>
      <c r="L21" s="132"/>
      <c r="M21" s="132"/>
      <c r="N21" s="135"/>
      <c r="O21" s="134"/>
    </row>
    <row r="22" spans="1:15" ht="14.25" x14ac:dyDescent="0.15">
      <c r="A22" s="265"/>
      <c r="B22" s="132"/>
      <c r="C22" s="132" t="s">
        <v>36</v>
      </c>
      <c r="D22" s="132"/>
      <c r="E22" s="56" t="s">
        <v>37</v>
      </c>
      <c r="F22" s="56"/>
      <c r="G22" s="132"/>
      <c r="H22" s="138">
        <v>0.13</v>
      </c>
      <c r="I22" s="132"/>
      <c r="J22" s="132" t="s">
        <v>375</v>
      </c>
      <c r="K22" s="138">
        <v>0.13</v>
      </c>
      <c r="L22" s="132"/>
      <c r="M22" s="132"/>
      <c r="N22" s="135"/>
      <c r="O22" s="134"/>
    </row>
    <row r="23" spans="1:15" ht="14.25" x14ac:dyDescent="0.15">
      <c r="A23" s="265"/>
      <c r="B23" s="129"/>
      <c r="C23" s="129"/>
      <c r="D23" s="129"/>
      <c r="E23" s="62"/>
      <c r="F23" s="145"/>
      <c r="G23" s="129"/>
      <c r="H23" s="130"/>
      <c r="I23" s="129"/>
      <c r="J23" s="129"/>
      <c r="K23" s="130"/>
      <c r="L23" s="132"/>
      <c r="M23" s="132"/>
      <c r="N23" s="135"/>
      <c r="O23" s="134"/>
    </row>
    <row r="24" spans="1:15" ht="14.25" x14ac:dyDescent="0.15">
      <c r="A24" s="265"/>
      <c r="B24" s="132" t="s">
        <v>127</v>
      </c>
      <c r="C24" s="132" t="s">
        <v>76</v>
      </c>
      <c r="D24" s="132"/>
      <c r="E24" s="56"/>
      <c r="F24" s="56"/>
      <c r="G24" s="132"/>
      <c r="H24" s="135">
        <v>10</v>
      </c>
      <c r="I24" s="132" t="s">
        <v>127</v>
      </c>
      <c r="J24" s="132" t="s">
        <v>76</v>
      </c>
      <c r="K24" s="135">
        <v>10</v>
      </c>
      <c r="L24" s="132"/>
      <c r="M24" s="132"/>
      <c r="N24" s="135"/>
      <c r="O24" s="134"/>
    </row>
    <row r="25" spans="1:15" ht="14.25" x14ac:dyDescent="0.15">
      <c r="A25" s="265"/>
      <c r="B25" s="132"/>
      <c r="C25" s="132"/>
      <c r="D25" s="132"/>
      <c r="E25" s="56"/>
      <c r="F25" s="56"/>
      <c r="G25" s="132" t="s">
        <v>55</v>
      </c>
      <c r="H25" s="135" t="s">
        <v>354</v>
      </c>
      <c r="I25" s="132"/>
      <c r="J25" s="132"/>
      <c r="K25" s="135"/>
      <c r="L25" s="132"/>
      <c r="M25" s="132"/>
      <c r="N25" s="135"/>
      <c r="O25" s="134"/>
    </row>
    <row r="26" spans="1:15" ht="15" thickBot="1" x14ac:dyDescent="0.2">
      <c r="A26" s="266"/>
      <c r="B26" s="139"/>
      <c r="C26" s="139"/>
      <c r="D26" s="139"/>
      <c r="E26" s="69"/>
      <c r="F26" s="69"/>
      <c r="G26" s="139"/>
      <c r="H26" s="140"/>
      <c r="I26" s="139"/>
      <c r="J26" s="139"/>
      <c r="K26" s="140"/>
      <c r="L26" s="139"/>
      <c r="M26" s="139"/>
      <c r="N26" s="140"/>
      <c r="O26" s="141"/>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sheetData>
  <mergeCells count="15">
    <mergeCell ref="L8:N8"/>
    <mergeCell ref="O8:O10"/>
    <mergeCell ref="I9:K9"/>
    <mergeCell ref="L9:N9"/>
    <mergeCell ref="A11:A26"/>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219</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23</v>
      </c>
      <c r="C10" s="48"/>
      <c r="D10" s="49"/>
      <c r="E10" s="54"/>
      <c r="F10" s="51"/>
      <c r="G10" s="84"/>
      <c r="H10" s="88"/>
      <c r="I10" s="49"/>
      <c r="J10" s="51"/>
      <c r="K10" s="51"/>
      <c r="L10" s="51"/>
      <c r="M10" s="51"/>
      <c r="N10" s="92"/>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149</v>
      </c>
      <c r="C12" s="55" t="s">
        <v>151</v>
      </c>
      <c r="D12" s="56"/>
      <c r="E12" s="57">
        <v>1</v>
      </c>
      <c r="F12" s="58" t="s">
        <v>53</v>
      </c>
      <c r="G12" s="85" t="s">
        <v>52</v>
      </c>
      <c r="H12" s="89" t="s">
        <v>151</v>
      </c>
      <c r="I12" s="56"/>
      <c r="J12" s="58">
        <f>ROUNDUP(E12*0.75,2)</f>
        <v>0.75</v>
      </c>
      <c r="K12" s="58" t="s">
        <v>53</v>
      </c>
      <c r="L12" s="58" t="s">
        <v>52</v>
      </c>
      <c r="M12" s="58">
        <f>ROUNDUP((R5*E12)+(R6*J12)+(R7*(E12*2)),2)</f>
        <v>0</v>
      </c>
      <c r="N12" s="93">
        <f>M12</f>
        <v>0</v>
      </c>
      <c r="O12" s="81" t="s">
        <v>296</v>
      </c>
      <c r="P12" s="59" t="s">
        <v>26</v>
      </c>
      <c r="Q12" s="56" t="s">
        <v>27</v>
      </c>
      <c r="R12" s="60">
        <v>1</v>
      </c>
      <c r="S12" s="57">
        <f>ROUNDUP(R12*0.75,2)</f>
        <v>0.75</v>
      </c>
      <c r="T12" s="77">
        <f>ROUNDUP((R5*R12)+(R6*S12)+(R7*(R12*2)),2)</f>
        <v>0</v>
      </c>
    </row>
    <row r="13" spans="1:21" ht="18.75" customHeight="1" x14ac:dyDescent="0.15">
      <c r="A13" s="242"/>
      <c r="B13" s="81"/>
      <c r="C13" s="55" t="s">
        <v>152</v>
      </c>
      <c r="D13" s="56"/>
      <c r="E13" s="57">
        <v>0.5</v>
      </c>
      <c r="F13" s="58" t="s">
        <v>29</v>
      </c>
      <c r="G13" s="85"/>
      <c r="H13" s="89" t="s">
        <v>152</v>
      </c>
      <c r="I13" s="56"/>
      <c r="J13" s="58">
        <f>ROUNDUP(E13*0.75,2)</f>
        <v>0.38</v>
      </c>
      <c r="K13" s="58" t="s">
        <v>29</v>
      </c>
      <c r="L13" s="58"/>
      <c r="M13" s="58">
        <f>ROUNDUP((R5*E13)+(R6*J13)+(R7*(E13*2)),2)</f>
        <v>0</v>
      </c>
      <c r="N13" s="93">
        <f>ROUND(M13+(M13*20/100),2)</f>
        <v>0</v>
      </c>
      <c r="O13" s="81" t="s">
        <v>150</v>
      </c>
      <c r="P13" s="59" t="s">
        <v>34</v>
      </c>
      <c r="Q13" s="56"/>
      <c r="R13" s="60">
        <v>2</v>
      </c>
      <c r="S13" s="57">
        <f>ROUNDUP(R13*0.75,2)</f>
        <v>1.5</v>
      </c>
      <c r="T13" s="77">
        <f>ROUNDUP((R5*R13)+(R6*S13)+(R7*(R13*2)),2)</f>
        <v>0</v>
      </c>
    </row>
    <row r="14" spans="1:21" ht="18.75" customHeight="1" x14ac:dyDescent="0.15">
      <c r="A14" s="242"/>
      <c r="B14" s="81"/>
      <c r="C14" s="55" t="s">
        <v>96</v>
      </c>
      <c r="D14" s="56"/>
      <c r="E14" s="57">
        <v>20</v>
      </c>
      <c r="F14" s="58" t="s">
        <v>29</v>
      </c>
      <c r="G14" s="85"/>
      <c r="H14" s="89" t="s">
        <v>96</v>
      </c>
      <c r="I14" s="56"/>
      <c r="J14" s="58">
        <f>ROUNDUP(E14*0.75,2)</f>
        <v>15</v>
      </c>
      <c r="K14" s="58" t="s">
        <v>29</v>
      </c>
      <c r="L14" s="58"/>
      <c r="M14" s="58">
        <f>ROUNDUP((R5*E14)+(R6*J14)+(R7*(E14*2)),2)</f>
        <v>0</v>
      </c>
      <c r="N14" s="93">
        <f>ROUND(M14+(M14*10/100),2)</f>
        <v>0</v>
      </c>
      <c r="O14" s="100" t="s">
        <v>261</v>
      </c>
      <c r="P14" s="59" t="s">
        <v>31</v>
      </c>
      <c r="Q14" s="56"/>
      <c r="R14" s="60">
        <v>3</v>
      </c>
      <c r="S14" s="57">
        <f>ROUNDUP(R14*0.75,2)</f>
        <v>2.25</v>
      </c>
      <c r="T14" s="77">
        <f>ROUNDUP((R5*R14)+(R6*S14)+(R7*(R14*2)),2)</f>
        <v>0</v>
      </c>
    </row>
    <row r="15" spans="1:21" ht="18.75" customHeight="1" x14ac:dyDescent="0.15">
      <c r="A15" s="242"/>
      <c r="B15" s="81"/>
      <c r="C15" s="55" t="s">
        <v>110</v>
      </c>
      <c r="D15" s="56"/>
      <c r="E15" s="57">
        <v>0.1</v>
      </c>
      <c r="F15" s="58" t="s">
        <v>29</v>
      </c>
      <c r="G15" s="85" t="s">
        <v>111</v>
      </c>
      <c r="H15" s="89" t="s">
        <v>110</v>
      </c>
      <c r="I15" s="56"/>
      <c r="J15" s="58">
        <f>ROUNDUP(E15*0.75,2)</f>
        <v>0.08</v>
      </c>
      <c r="K15" s="58" t="s">
        <v>29</v>
      </c>
      <c r="L15" s="58" t="s">
        <v>111</v>
      </c>
      <c r="M15" s="58">
        <f>ROUNDUP((R5*E15)+(R6*J15)+(R7*(E15*2)),2)</f>
        <v>0</v>
      </c>
      <c r="N15" s="93">
        <f>M15</f>
        <v>0</v>
      </c>
      <c r="O15" s="81" t="s">
        <v>262</v>
      </c>
      <c r="P15" s="59" t="s">
        <v>54</v>
      </c>
      <c r="Q15" s="56"/>
      <c r="R15" s="60">
        <v>4</v>
      </c>
      <c r="S15" s="57">
        <f>ROUNDUP(R15*0.75,2)</f>
        <v>3</v>
      </c>
      <c r="T15" s="77">
        <f>ROUNDUP((R5*R15)+(R6*S15)+(R7*(R15*2)),2)</f>
        <v>0</v>
      </c>
    </row>
    <row r="16" spans="1:21" ht="18.75" customHeight="1" x14ac:dyDescent="0.15">
      <c r="A16" s="242"/>
      <c r="B16" s="81"/>
      <c r="C16" s="55"/>
      <c r="D16" s="56"/>
      <c r="E16" s="57"/>
      <c r="F16" s="58"/>
      <c r="G16" s="85"/>
      <c r="H16" s="89"/>
      <c r="I16" s="56"/>
      <c r="J16" s="58"/>
      <c r="K16" s="58"/>
      <c r="L16" s="58"/>
      <c r="M16" s="58"/>
      <c r="N16" s="93"/>
      <c r="O16" s="81" t="s">
        <v>28</v>
      </c>
      <c r="P16" s="59" t="s">
        <v>41</v>
      </c>
      <c r="Q16" s="56"/>
      <c r="R16" s="60">
        <v>0.05</v>
      </c>
      <c r="S16" s="57">
        <f>ROUNDUP(R16*0.75,2)</f>
        <v>0.04</v>
      </c>
      <c r="T16" s="77">
        <f>ROUNDUP((R5*R16)+(R6*S16)+(R7*(R16*2)),2)</f>
        <v>0</v>
      </c>
    </row>
    <row r="17" spans="1:20" ht="18.75" customHeight="1" x14ac:dyDescent="0.15">
      <c r="A17" s="242"/>
      <c r="B17" s="82"/>
      <c r="C17" s="61"/>
      <c r="D17" s="62"/>
      <c r="E17" s="63"/>
      <c r="F17" s="64"/>
      <c r="G17" s="86"/>
      <c r="H17" s="90"/>
      <c r="I17" s="62"/>
      <c r="J17" s="64"/>
      <c r="K17" s="64"/>
      <c r="L17" s="64"/>
      <c r="M17" s="64"/>
      <c r="N17" s="94"/>
      <c r="O17" s="82"/>
      <c r="P17" s="65"/>
      <c r="Q17" s="62"/>
      <c r="R17" s="66"/>
      <c r="S17" s="63"/>
      <c r="T17" s="78"/>
    </row>
    <row r="18" spans="1:20" ht="18.75" customHeight="1" x14ac:dyDescent="0.15">
      <c r="A18" s="242"/>
      <c r="B18" s="81" t="s">
        <v>220</v>
      </c>
      <c r="C18" s="55" t="s">
        <v>221</v>
      </c>
      <c r="D18" s="56"/>
      <c r="E18" s="57">
        <v>30</v>
      </c>
      <c r="F18" s="58" t="s">
        <v>29</v>
      </c>
      <c r="G18" s="85"/>
      <c r="H18" s="89" t="s">
        <v>221</v>
      </c>
      <c r="I18" s="56"/>
      <c r="J18" s="58">
        <f>ROUNDUP(E18*0.75,2)</f>
        <v>22.5</v>
      </c>
      <c r="K18" s="58" t="s">
        <v>29</v>
      </c>
      <c r="L18" s="58"/>
      <c r="M18" s="58">
        <f>ROUNDUP((R5*E18)+(R6*J18)+(R7*(E18*2)),2)</f>
        <v>0</v>
      </c>
      <c r="N18" s="93">
        <f>M18</f>
        <v>0</v>
      </c>
      <c r="O18" s="81" t="s">
        <v>154</v>
      </c>
      <c r="P18" s="59" t="s">
        <v>50</v>
      </c>
      <c r="Q18" s="56"/>
      <c r="R18" s="60">
        <v>1</v>
      </c>
      <c r="S18" s="57">
        <f>ROUNDUP(R18*0.75,2)</f>
        <v>0.75</v>
      </c>
      <c r="T18" s="77">
        <f>ROUNDUP((R5*R18)+(R6*S18)+(R7*(R18*2)),2)</f>
        <v>0</v>
      </c>
    </row>
    <row r="19" spans="1:20" ht="18.75" customHeight="1" x14ac:dyDescent="0.15">
      <c r="A19" s="242"/>
      <c r="B19" s="81"/>
      <c r="C19" s="55" t="s">
        <v>33</v>
      </c>
      <c r="D19" s="56"/>
      <c r="E19" s="57">
        <v>10</v>
      </c>
      <c r="F19" s="58" t="s">
        <v>29</v>
      </c>
      <c r="G19" s="85"/>
      <c r="H19" s="89" t="s">
        <v>33</v>
      </c>
      <c r="I19" s="56"/>
      <c r="J19" s="58">
        <f>ROUNDUP(E19*0.75,2)</f>
        <v>7.5</v>
      </c>
      <c r="K19" s="58" t="s">
        <v>29</v>
      </c>
      <c r="L19" s="58"/>
      <c r="M19" s="58">
        <f>ROUNDUP((R5*E19)+(R6*J19)+(R7*(E19*2)),2)</f>
        <v>0</v>
      </c>
      <c r="N19" s="93">
        <f>ROUND(M19+(M19*10/100),2)</f>
        <v>0</v>
      </c>
      <c r="O19" s="81" t="s">
        <v>155</v>
      </c>
      <c r="P19" s="59" t="s">
        <v>26</v>
      </c>
      <c r="Q19" s="56" t="s">
        <v>27</v>
      </c>
      <c r="R19" s="60">
        <v>1</v>
      </c>
      <c r="S19" s="57">
        <f>ROUNDUP(R19*0.75,2)</f>
        <v>0.75</v>
      </c>
      <c r="T19" s="77">
        <f>ROUNDUP((R5*R19)+(R6*S19)+(R7*(R19*2)),2)</f>
        <v>0</v>
      </c>
    </row>
    <row r="20" spans="1:20" ht="18.75" customHeight="1" x14ac:dyDescent="0.15">
      <c r="A20" s="242"/>
      <c r="B20" s="81"/>
      <c r="C20" s="55"/>
      <c r="D20" s="56"/>
      <c r="E20" s="57"/>
      <c r="F20" s="58"/>
      <c r="G20" s="85"/>
      <c r="H20" s="89"/>
      <c r="I20" s="56"/>
      <c r="J20" s="58"/>
      <c r="K20" s="58"/>
      <c r="L20" s="58"/>
      <c r="M20" s="58"/>
      <c r="N20" s="93"/>
      <c r="O20" s="81" t="s">
        <v>28</v>
      </c>
      <c r="P20" s="59" t="s">
        <v>88</v>
      </c>
      <c r="Q20" s="56"/>
      <c r="R20" s="60">
        <v>2</v>
      </c>
      <c r="S20" s="57">
        <f>ROUNDUP(R20*0.75,2)</f>
        <v>1.5</v>
      </c>
      <c r="T20" s="77">
        <f>ROUNDUP((R5*R20)+(R6*S20)+(R7*(R20*2)),2)</f>
        <v>0</v>
      </c>
    </row>
    <row r="21" spans="1:20" ht="18.75" customHeight="1" x14ac:dyDescent="0.15">
      <c r="A21" s="242"/>
      <c r="B21" s="81"/>
      <c r="C21" s="55"/>
      <c r="D21" s="56"/>
      <c r="E21" s="57"/>
      <c r="F21" s="58"/>
      <c r="G21" s="85"/>
      <c r="H21" s="89"/>
      <c r="I21" s="56"/>
      <c r="J21" s="58"/>
      <c r="K21" s="58"/>
      <c r="L21" s="58"/>
      <c r="M21" s="58"/>
      <c r="N21" s="93"/>
      <c r="O21" s="81"/>
      <c r="P21" s="59" t="s">
        <v>71</v>
      </c>
      <c r="Q21" s="56"/>
      <c r="R21" s="60">
        <v>2</v>
      </c>
      <c r="S21" s="57">
        <f>ROUNDUP(R21*0.75,2)</f>
        <v>1.5</v>
      </c>
      <c r="T21" s="77">
        <f>ROUNDUP((R5*R21)+(R6*S21)+(R7*(R21*2)),2)</f>
        <v>0</v>
      </c>
    </row>
    <row r="22" spans="1:20" ht="18.75" customHeight="1" x14ac:dyDescent="0.15">
      <c r="A22" s="242"/>
      <c r="B22" s="82"/>
      <c r="C22" s="61"/>
      <c r="D22" s="62"/>
      <c r="E22" s="63"/>
      <c r="F22" s="64"/>
      <c r="G22" s="86"/>
      <c r="H22" s="90"/>
      <c r="I22" s="62"/>
      <c r="J22" s="64"/>
      <c r="K22" s="64"/>
      <c r="L22" s="64"/>
      <c r="M22" s="64"/>
      <c r="N22" s="94"/>
      <c r="O22" s="82"/>
      <c r="P22" s="65"/>
      <c r="Q22" s="62"/>
      <c r="R22" s="66"/>
      <c r="S22" s="63"/>
      <c r="T22" s="78"/>
    </row>
    <row r="23" spans="1:20" ht="18.75" customHeight="1" x14ac:dyDescent="0.15">
      <c r="A23" s="242"/>
      <c r="B23" s="81" t="s">
        <v>58</v>
      </c>
      <c r="C23" s="55" t="s">
        <v>81</v>
      </c>
      <c r="D23" s="56"/>
      <c r="E23" s="57">
        <v>5</v>
      </c>
      <c r="F23" s="58" t="s">
        <v>29</v>
      </c>
      <c r="G23" s="85"/>
      <c r="H23" s="89" t="s">
        <v>81</v>
      </c>
      <c r="I23" s="56"/>
      <c r="J23" s="58">
        <f>ROUNDUP(E23*0.75,2)</f>
        <v>3.75</v>
      </c>
      <c r="K23" s="58" t="s">
        <v>29</v>
      </c>
      <c r="L23" s="58"/>
      <c r="M23" s="58">
        <f>ROUNDUP((R5*E23)+(R6*J23)+(R7*(E23*2)),2)</f>
        <v>0</v>
      </c>
      <c r="N23" s="93">
        <f>ROUND(M23+(M23*10/100),2)</f>
        <v>0</v>
      </c>
      <c r="O23" s="81" t="s">
        <v>28</v>
      </c>
      <c r="P23" s="59" t="s">
        <v>25</v>
      </c>
      <c r="Q23" s="56"/>
      <c r="R23" s="60">
        <v>100</v>
      </c>
      <c r="S23" s="57">
        <f>ROUNDUP(R23*0.75,2)</f>
        <v>75</v>
      </c>
      <c r="T23" s="77">
        <f>ROUNDUP((R5*R23)+(R6*S23)+(R7*(R23*2)),2)</f>
        <v>0</v>
      </c>
    </row>
    <row r="24" spans="1:20" ht="18.75" customHeight="1" x14ac:dyDescent="0.15">
      <c r="A24" s="242"/>
      <c r="B24" s="81"/>
      <c r="C24" s="55" t="s">
        <v>157</v>
      </c>
      <c r="D24" s="56" t="s">
        <v>27</v>
      </c>
      <c r="E24" s="97">
        <v>0.1</v>
      </c>
      <c r="F24" s="58" t="s">
        <v>24</v>
      </c>
      <c r="G24" s="85"/>
      <c r="H24" s="89" t="s">
        <v>157</v>
      </c>
      <c r="I24" s="56" t="s">
        <v>27</v>
      </c>
      <c r="J24" s="58">
        <f>ROUNDUP(E24*0.75,2)</f>
        <v>0.08</v>
      </c>
      <c r="K24" s="58" t="s">
        <v>24</v>
      </c>
      <c r="L24" s="58"/>
      <c r="M24" s="58">
        <f>ROUNDUP((R5*E24)+(R6*J24)+(R7*(E24*2)),2)</f>
        <v>0</v>
      </c>
      <c r="N24" s="93">
        <f>M24</f>
        <v>0</v>
      </c>
      <c r="O24" s="81"/>
      <c r="P24" s="59" t="s">
        <v>59</v>
      </c>
      <c r="Q24" s="56"/>
      <c r="R24" s="60">
        <v>3</v>
      </c>
      <c r="S24" s="57">
        <f>ROUNDUP(R24*0.75,2)</f>
        <v>2.25</v>
      </c>
      <c r="T24" s="77">
        <f>ROUNDUP((R5*R24)+(R6*S24)+(R7*(R24*2)),2)</f>
        <v>0</v>
      </c>
    </row>
    <row r="25" spans="1:20" ht="18.75" customHeight="1" x14ac:dyDescent="0.15">
      <c r="A25" s="242"/>
      <c r="B25" s="82"/>
      <c r="C25" s="61"/>
      <c r="D25" s="62"/>
      <c r="E25" s="63"/>
      <c r="F25" s="64"/>
      <c r="G25" s="86"/>
      <c r="H25" s="90"/>
      <c r="I25" s="62"/>
      <c r="J25" s="64"/>
      <c r="K25" s="64"/>
      <c r="L25" s="64"/>
      <c r="M25" s="64"/>
      <c r="N25" s="94"/>
      <c r="O25" s="82"/>
      <c r="P25" s="65"/>
      <c r="Q25" s="62"/>
      <c r="R25" s="66"/>
      <c r="S25" s="63"/>
      <c r="T25" s="78"/>
    </row>
    <row r="26" spans="1:20" ht="18.75" customHeight="1" x14ac:dyDescent="0.15">
      <c r="A26" s="242"/>
      <c r="B26" s="81" t="s">
        <v>82</v>
      </c>
      <c r="C26" s="55" t="s">
        <v>83</v>
      </c>
      <c r="D26" s="56"/>
      <c r="E26" s="98">
        <v>0.16666666666666666</v>
      </c>
      <c r="F26" s="58" t="s">
        <v>38</v>
      </c>
      <c r="G26" s="85"/>
      <c r="H26" s="89" t="s">
        <v>83</v>
      </c>
      <c r="I26" s="56"/>
      <c r="J26" s="58">
        <f>ROUNDUP(E26*0.75,2)</f>
        <v>0.13</v>
      </c>
      <c r="K26" s="58" t="s">
        <v>38</v>
      </c>
      <c r="L26" s="58"/>
      <c r="M26" s="58">
        <f>ROUNDUP((R5*E26)+(R6*J26)+(R7*(E26*2)),2)</f>
        <v>0</v>
      </c>
      <c r="N26" s="93">
        <f>M26</f>
        <v>0</v>
      </c>
      <c r="O26" s="81" t="s">
        <v>61</v>
      </c>
      <c r="P26" s="59"/>
      <c r="Q26" s="56"/>
      <c r="R26" s="60"/>
      <c r="S26" s="57"/>
      <c r="T26" s="77"/>
    </row>
    <row r="27" spans="1:20" ht="18.75" customHeight="1" thickBot="1" x14ac:dyDescent="0.2">
      <c r="A27" s="243"/>
      <c r="B27" s="83"/>
      <c r="C27" s="68"/>
      <c r="D27" s="69"/>
      <c r="E27" s="70"/>
      <c r="F27" s="71"/>
      <c r="G27" s="87"/>
      <c r="H27" s="91"/>
      <c r="I27" s="69"/>
      <c r="J27" s="71"/>
      <c r="K27" s="71"/>
      <c r="L27" s="71"/>
      <c r="M27" s="71"/>
      <c r="N27" s="95"/>
      <c r="O27" s="83"/>
      <c r="P27" s="72"/>
      <c r="Q27" s="69"/>
      <c r="R27" s="73"/>
      <c r="S27" s="70"/>
      <c r="T27" s="79"/>
    </row>
  </sheetData>
  <mergeCells count="5">
    <mergeCell ref="H1:O1"/>
    <mergeCell ref="A2:T2"/>
    <mergeCell ref="Q3:T3"/>
    <mergeCell ref="A8:F8"/>
    <mergeCell ref="A10:A27"/>
  </mergeCells>
  <phoneticPr fontId="19"/>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63</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23</v>
      </c>
      <c r="C10" s="48"/>
      <c r="D10" s="49"/>
      <c r="E10" s="54"/>
      <c r="F10" s="51"/>
      <c r="G10" s="84"/>
      <c r="H10" s="88"/>
      <c r="I10" s="49"/>
      <c r="J10" s="51"/>
      <c r="K10" s="51"/>
      <c r="L10" s="51"/>
      <c r="M10" s="51"/>
      <c r="N10" s="92"/>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64</v>
      </c>
      <c r="C12" s="55" t="s">
        <v>67</v>
      </c>
      <c r="D12" s="56"/>
      <c r="E12" s="96">
        <v>0.33333333333333331</v>
      </c>
      <c r="F12" s="58" t="s">
        <v>68</v>
      </c>
      <c r="G12" s="85"/>
      <c r="H12" s="89" t="s">
        <v>67</v>
      </c>
      <c r="I12" s="56"/>
      <c r="J12" s="58">
        <f>ROUNDUP(E12*0.75,2)</f>
        <v>0.25</v>
      </c>
      <c r="K12" s="58" t="s">
        <v>68</v>
      </c>
      <c r="L12" s="58"/>
      <c r="M12" s="58">
        <f>ROUNDUP((R5*E12)+(R6*J12)+(R7*(E12*2)),2)</f>
        <v>0</v>
      </c>
      <c r="N12" s="93">
        <f>M12</f>
        <v>0</v>
      </c>
      <c r="O12" s="81" t="s">
        <v>65</v>
      </c>
      <c r="P12" s="59" t="s">
        <v>30</v>
      </c>
      <c r="Q12" s="56"/>
      <c r="R12" s="60">
        <v>0.5</v>
      </c>
      <c r="S12" s="57">
        <f t="shared" ref="S12:S18" si="0">ROUNDUP(R12*0.75,2)</f>
        <v>0.38</v>
      </c>
      <c r="T12" s="77">
        <f>ROUNDUP((R5*R12)+(R6*S12)+(R7*(R12*2)),2)</f>
        <v>0</v>
      </c>
    </row>
    <row r="13" spans="1:21" ht="18.75" customHeight="1" x14ac:dyDescent="0.15">
      <c r="A13" s="242"/>
      <c r="B13" s="81"/>
      <c r="C13" s="55" t="s">
        <v>69</v>
      </c>
      <c r="D13" s="56"/>
      <c r="E13" s="57">
        <v>20</v>
      </c>
      <c r="F13" s="58" t="s">
        <v>29</v>
      </c>
      <c r="G13" s="85"/>
      <c r="H13" s="89" t="s">
        <v>69</v>
      </c>
      <c r="I13" s="56"/>
      <c r="J13" s="58">
        <f>ROUNDUP(E13*0.75,2)</f>
        <v>15</v>
      </c>
      <c r="K13" s="58" t="s">
        <v>29</v>
      </c>
      <c r="L13" s="58"/>
      <c r="M13" s="58">
        <f>ROUNDUP((R5*E13)+(R6*J13)+(R7*(E13*2)),2)</f>
        <v>0</v>
      </c>
      <c r="N13" s="93">
        <f>M13</f>
        <v>0</v>
      </c>
      <c r="O13" s="100" t="s">
        <v>327</v>
      </c>
      <c r="P13" s="59" t="s">
        <v>71</v>
      </c>
      <c r="Q13" s="56"/>
      <c r="R13" s="60">
        <v>2</v>
      </c>
      <c r="S13" s="57">
        <f t="shared" si="0"/>
        <v>1.5</v>
      </c>
      <c r="T13" s="77">
        <f>ROUNDUP((R5*R13)+(R6*S13)+(R7*(R13*2)),2)</f>
        <v>0</v>
      </c>
    </row>
    <row r="14" spans="1:21" ht="18.75" customHeight="1" x14ac:dyDescent="0.15">
      <c r="A14" s="242"/>
      <c r="B14" s="81"/>
      <c r="C14" s="55" t="s">
        <v>56</v>
      </c>
      <c r="D14" s="56"/>
      <c r="E14" s="57">
        <v>20</v>
      </c>
      <c r="F14" s="58" t="s">
        <v>29</v>
      </c>
      <c r="G14" s="85"/>
      <c r="H14" s="89" t="s">
        <v>56</v>
      </c>
      <c r="I14" s="56"/>
      <c r="J14" s="58">
        <f>ROUNDUP(E14*0.75,2)</f>
        <v>15</v>
      </c>
      <c r="K14" s="58" t="s">
        <v>29</v>
      </c>
      <c r="L14" s="58"/>
      <c r="M14" s="58">
        <f>ROUNDUP((R5*E14)+(R6*J14)+(R7*(E14*2)),2)</f>
        <v>0</v>
      </c>
      <c r="N14" s="93">
        <f>ROUND(M14+(M14*6/100),2)</f>
        <v>0</v>
      </c>
      <c r="O14" s="100" t="s">
        <v>328</v>
      </c>
      <c r="P14" s="59" t="s">
        <v>25</v>
      </c>
      <c r="Q14" s="56"/>
      <c r="R14" s="60">
        <v>15</v>
      </c>
      <c r="S14" s="57">
        <f t="shared" si="0"/>
        <v>11.25</v>
      </c>
      <c r="T14" s="77">
        <f>ROUNDUP((R5*R14)+(R6*S14)+(R7*(R14*2)),2)</f>
        <v>0</v>
      </c>
    </row>
    <row r="15" spans="1:21" ht="18.75" customHeight="1" x14ac:dyDescent="0.15">
      <c r="A15" s="242"/>
      <c r="B15" s="81"/>
      <c r="C15" s="55" t="s">
        <v>33</v>
      </c>
      <c r="D15" s="56"/>
      <c r="E15" s="57">
        <v>5</v>
      </c>
      <c r="F15" s="58" t="s">
        <v>29</v>
      </c>
      <c r="G15" s="85"/>
      <c r="H15" s="89" t="s">
        <v>33</v>
      </c>
      <c r="I15" s="56"/>
      <c r="J15" s="58">
        <f>ROUNDUP(E15*0.75,2)</f>
        <v>3.75</v>
      </c>
      <c r="K15" s="58" t="s">
        <v>29</v>
      </c>
      <c r="L15" s="58"/>
      <c r="M15" s="58">
        <f>ROUNDUP((R5*E15)+(R6*J15)+(R7*(E15*2)),2)</f>
        <v>0</v>
      </c>
      <c r="N15" s="93">
        <f>ROUND(M15+(M15*10/100),2)</f>
        <v>0</v>
      </c>
      <c r="O15" s="36" t="s">
        <v>294</v>
      </c>
      <c r="P15" s="59" t="s">
        <v>50</v>
      </c>
      <c r="Q15" s="56"/>
      <c r="R15" s="60">
        <v>0.5</v>
      </c>
      <c r="S15" s="57">
        <f t="shared" si="0"/>
        <v>0.38</v>
      </c>
      <c r="T15" s="77">
        <f>ROUNDUP((R5*R15)+(R6*S15)+(R7*(R15*2)),2)</f>
        <v>0</v>
      </c>
    </row>
    <row r="16" spans="1:21" ht="18.75" customHeight="1" x14ac:dyDescent="0.15">
      <c r="A16" s="242"/>
      <c r="B16" s="81"/>
      <c r="C16" s="55" t="s">
        <v>70</v>
      </c>
      <c r="D16" s="56"/>
      <c r="E16" s="57">
        <v>5</v>
      </c>
      <c r="F16" s="58" t="s">
        <v>29</v>
      </c>
      <c r="G16" s="85"/>
      <c r="H16" s="89" t="s">
        <v>70</v>
      </c>
      <c r="I16" s="56"/>
      <c r="J16" s="58">
        <f>ROUNDUP(E16*0.75,2)</f>
        <v>3.75</v>
      </c>
      <c r="K16" s="58" t="s">
        <v>29</v>
      </c>
      <c r="L16" s="58"/>
      <c r="M16" s="58">
        <f>ROUNDUP((R5*E16)+(R6*J16)+(R7*(E16*2)),2)</f>
        <v>0</v>
      </c>
      <c r="N16" s="93">
        <f>M16</f>
        <v>0</v>
      </c>
      <c r="O16" s="81" t="s">
        <v>66</v>
      </c>
      <c r="P16" s="59" t="s">
        <v>26</v>
      </c>
      <c r="Q16" s="56" t="s">
        <v>27</v>
      </c>
      <c r="R16" s="60">
        <v>1</v>
      </c>
      <c r="S16" s="57">
        <f t="shared" si="0"/>
        <v>0.75</v>
      </c>
      <c r="T16" s="77">
        <f>ROUNDUP((R5*R16)+(R6*S16)+(R7*(R16*2)),2)</f>
        <v>0</v>
      </c>
    </row>
    <row r="17" spans="1:20" ht="18.75" customHeight="1" x14ac:dyDescent="0.15">
      <c r="A17" s="242"/>
      <c r="B17" s="81"/>
      <c r="C17" s="55"/>
      <c r="D17" s="56"/>
      <c r="E17" s="57"/>
      <c r="F17" s="58"/>
      <c r="G17" s="85"/>
      <c r="H17" s="89"/>
      <c r="I17" s="56"/>
      <c r="J17" s="58"/>
      <c r="K17" s="58"/>
      <c r="L17" s="58"/>
      <c r="M17" s="58"/>
      <c r="N17" s="93"/>
      <c r="O17" s="81" t="s">
        <v>28</v>
      </c>
      <c r="P17" s="59" t="s">
        <v>34</v>
      </c>
      <c r="Q17" s="56"/>
      <c r="R17" s="60">
        <v>2</v>
      </c>
      <c r="S17" s="57">
        <f t="shared" si="0"/>
        <v>1.5</v>
      </c>
      <c r="T17" s="77">
        <f>ROUNDUP((R5*R17)+(R6*S17)+(R7*(R17*2)),2)</f>
        <v>0</v>
      </c>
    </row>
    <row r="18" spans="1:20" ht="18.75" customHeight="1" x14ac:dyDescent="0.15">
      <c r="A18" s="242"/>
      <c r="B18" s="81"/>
      <c r="C18" s="55"/>
      <c r="D18" s="56"/>
      <c r="E18" s="57"/>
      <c r="F18" s="58"/>
      <c r="G18" s="85"/>
      <c r="H18" s="89"/>
      <c r="I18" s="56"/>
      <c r="J18" s="58"/>
      <c r="K18" s="58"/>
      <c r="L18" s="58"/>
      <c r="M18" s="58"/>
      <c r="N18" s="93"/>
      <c r="O18" s="81"/>
      <c r="P18" s="59" t="s">
        <v>31</v>
      </c>
      <c r="Q18" s="56"/>
      <c r="R18" s="60">
        <v>1</v>
      </c>
      <c r="S18" s="57">
        <f t="shared" si="0"/>
        <v>0.75</v>
      </c>
      <c r="T18" s="77">
        <f>ROUNDUP((R5*R18)+(R6*S18)+(R7*(R18*2)),2)</f>
        <v>0</v>
      </c>
    </row>
    <row r="19" spans="1:20" ht="18.75" customHeight="1" x14ac:dyDescent="0.15">
      <c r="A19" s="242"/>
      <c r="B19" s="82"/>
      <c r="C19" s="61"/>
      <c r="D19" s="62"/>
      <c r="E19" s="63"/>
      <c r="F19" s="64"/>
      <c r="G19" s="86"/>
      <c r="H19" s="90"/>
      <c r="I19" s="62"/>
      <c r="J19" s="64"/>
      <c r="K19" s="64"/>
      <c r="L19" s="64"/>
      <c r="M19" s="64"/>
      <c r="N19" s="94"/>
      <c r="O19" s="82"/>
      <c r="P19" s="65"/>
      <c r="Q19" s="62"/>
      <c r="R19" s="66"/>
      <c r="S19" s="63"/>
      <c r="T19" s="78"/>
    </row>
    <row r="20" spans="1:20" ht="18.75" customHeight="1" x14ac:dyDescent="0.15">
      <c r="A20" s="242"/>
      <c r="B20" s="81" t="s">
        <v>239</v>
      </c>
      <c r="C20" s="55" t="s">
        <v>75</v>
      </c>
      <c r="D20" s="56"/>
      <c r="E20" s="97">
        <v>0.1</v>
      </c>
      <c r="F20" s="58" t="s">
        <v>24</v>
      </c>
      <c r="G20" s="85" t="s">
        <v>52</v>
      </c>
      <c r="H20" s="89" t="s">
        <v>75</v>
      </c>
      <c r="I20" s="56"/>
      <c r="J20" s="58">
        <f>ROUNDUP(E20*0.75,2)</f>
        <v>0.08</v>
      </c>
      <c r="K20" s="58" t="s">
        <v>24</v>
      </c>
      <c r="L20" s="58" t="s">
        <v>52</v>
      </c>
      <c r="M20" s="58">
        <f>ROUNDUP((R5*E20)+(R6*J20)+(R7*(E20*2)),2)</f>
        <v>0</v>
      </c>
      <c r="N20" s="93">
        <f>M20</f>
        <v>0</v>
      </c>
      <c r="O20" s="81" t="s">
        <v>72</v>
      </c>
      <c r="P20" s="59" t="s">
        <v>78</v>
      </c>
      <c r="Q20" s="56" t="s">
        <v>79</v>
      </c>
      <c r="R20" s="60">
        <v>4</v>
      </c>
      <c r="S20" s="57">
        <f>ROUNDUP(R20*0.75,2)</f>
        <v>3</v>
      </c>
      <c r="T20" s="77">
        <f>ROUNDUP((R5*R20)+(R6*S20)+(R7*(R20*2)),2)</f>
        <v>0</v>
      </c>
    </row>
    <row r="21" spans="1:20" ht="18.75" customHeight="1" x14ac:dyDescent="0.15">
      <c r="A21" s="242"/>
      <c r="B21" s="101" t="s">
        <v>240</v>
      </c>
      <c r="C21" s="55" t="s">
        <v>76</v>
      </c>
      <c r="D21" s="56"/>
      <c r="E21" s="57">
        <v>30</v>
      </c>
      <c r="F21" s="58" t="s">
        <v>29</v>
      </c>
      <c r="G21" s="85"/>
      <c r="H21" s="89" t="s">
        <v>76</v>
      </c>
      <c r="I21" s="56"/>
      <c r="J21" s="58">
        <f>ROUNDUP(E21*0.75,2)</f>
        <v>22.5</v>
      </c>
      <c r="K21" s="58" t="s">
        <v>29</v>
      </c>
      <c r="L21" s="58"/>
      <c r="M21" s="58">
        <f>ROUNDUP((R5*E21)+(R6*J21)+(R7*(E21*2)),2)</f>
        <v>0</v>
      </c>
      <c r="N21" s="93">
        <f>ROUND(M21+(M21*6/100),2)</f>
        <v>0</v>
      </c>
      <c r="O21" s="81" t="s">
        <v>73</v>
      </c>
      <c r="P21" s="59" t="s">
        <v>50</v>
      </c>
      <c r="Q21" s="56"/>
      <c r="R21" s="60">
        <v>0.3</v>
      </c>
      <c r="S21" s="57">
        <f>ROUNDUP(R21*0.75,2)</f>
        <v>0.23</v>
      </c>
      <c r="T21" s="77">
        <f>ROUNDUP((R5*R21)+(R6*S21)+(R7*(R21*2)),2)</f>
        <v>0</v>
      </c>
    </row>
    <row r="22" spans="1:20" ht="18.75" customHeight="1" x14ac:dyDescent="0.15">
      <c r="A22" s="242"/>
      <c r="B22" s="81"/>
      <c r="C22" s="55" t="s">
        <v>77</v>
      </c>
      <c r="D22" s="56"/>
      <c r="E22" s="57">
        <v>10</v>
      </c>
      <c r="F22" s="58" t="s">
        <v>29</v>
      </c>
      <c r="G22" s="85"/>
      <c r="H22" s="89" t="s">
        <v>77</v>
      </c>
      <c r="I22" s="56"/>
      <c r="J22" s="58">
        <f>ROUNDUP(E22*0.75,2)</f>
        <v>7.5</v>
      </c>
      <c r="K22" s="58" t="s">
        <v>29</v>
      </c>
      <c r="L22" s="58"/>
      <c r="M22" s="58">
        <f>ROUNDUP((R5*E22)+(R6*J22)+(R7*(E22*2)),2)</f>
        <v>0</v>
      </c>
      <c r="N22" s="93">
        <f>M22</f>
        <v>0</v>
      </c>
      <c r="O22" s="81" t="s">
        <v>74</v>
      </c>
      <c r="P22" s="59" t="s">
        <v>26</v>
      </c>
      <c r="Q22" s="56" t="s">
        <v>27</v>
      </c>
      <c r="R22" s="60">
        <v>0.3</v>
      </c>
      <c r="S22" s="57">
        <f>ROUNDUP(R22*0.75,2)</f>
        <v>0.23</v>
      </c>
      <c r="T22" s="77">
        <f>ROUNDUP((R5*R22)+(R6*S22)+(R7*(R22*2)),2)</f>
        <v>0</v>
      </c>
    </row>
    <row r="23" spans="1:20" ht="18.75" customHeight="1" x14ac:dyDescent="0.15">
      <c r="A23" s="242"/>
      <c r="B23" s="81"/>
      <c r="C23" s="55"/>
      <c r="D23" s="56"/>
      <c r="E23" s="57"/>
      <c r="F23" s="58"/>
      <c r="G23" s="85"/>
      <c r="H23" s="89"/>
      <c r="I23" s="56"/>
      <c r="J23" s="58"/>
      <c r="K23" s="58"/>
      <c r="L23" s="58"/>
      <c r="M23" s="58"/>
      <c r="N23" s="93"/>
      <c r="O23" s="81" t="s">
        <v>28</v>
      </c>
      <c r="P23" s="59"/>
      <c r="Q23" s="56"/>
      <c r="R23" s="60"/>
      <c r="S23" s="57"/>
      <c r="T23" s="77"/>
    </row>
    <row r="24" spans="1:20" ht="18.75" customHeight="1" x14ac:dyDescent="0.15">
      <c r="A24" s="242"/>
      <c r="B24" s="82"/>
      <c r="C24" s="61"/>
      <c r="D24" s="62"/>
      <c r="E24" s="63"/>
      <c r="F24" s="64"/>
      <c r="G24" s="86"/>
      <c r="H24" s="90"/>
      <c r="I24" s="62"/>
      <c r="J24" s="64"/>
      <c r="K24" s="64"/>
      <c r="L24" s="64"/>
      <c r="M24" s="64"/>
      <c r="N24" s="94"/>
      <c r="O24" s="82"/>
      <c r="P24" s="65"/>
      <c r="Q24" s="62"/>
      <c r="R24" s="66"/>
      <c r="S24" s="63"/>
      <c r="T24" s="78"/>
    </row>
    <row r="25" spans="1:20" ht="18.75" customHeight="1" x14ac:dyDescent="0.15">
      <c r="A25" s="242"/>
      <c r="B25" s="81" t="s">
        <v>58</v>
      </c>
      <c r="C25" s="55" t="s">
        <v>80</v>
      </c>
      <c r="D25" s="56"/>
      <c r="E25" s="57">
        <v>20</v>
      </c>
      <c r="F25" s="58" t="s">
        <v>29</v>
      </c>
      <c r="G25" s="85"/>
      <c r="H25" s="89" t="s">
        <v>80</v>
      </c>
      <c r="I25" s="56"/>
      <c r="J25" s="58">
        <f>ROUNDUP(E25*0.75,2)</f>
        <v>15</v>
      </c>
      <c r="K25" s="58" t="s">
        <v>29</v>
      </c>
      <c r="L25" s="58"/>
      <c r="M25" s="58">
        <f>ROUNDUP((R5*E25)+(R6*J25)+(R7*(E25*2)),2)</f>
        <v>0</v>
      </c>
      <c r="N25" s="93">
        <f>M25</f>
        <v>0</v>
      </c>
      <c r="O25" s="81" t="s">
        <v>28</v>
      </c>
      <c r="P25" s="59" t="s">
        <v>25</v>
      </c>
      <c r="Q25" s="56"/>
      <c r="R25" s="60">
        <v>100</v>
      </c>
      <c r="S25" s="57">
        <f>ROUNDUP(R25*0.75,2)</f>
        <v>75</v>
      </c>
      <c r="T25" s="77">
        <f>ROUNDUP((R5*R25)+(R6*S25)+(R7*(R25*2)),2)</f>
        <v>0</v>
      </c>
    </row>
    <row r="26" spans="1:20" ht="18.75" customHeight="1" x14ac:dyDescent="0.15">
      <c r="A26" s="242"/>
      <c r="B26" s="81"/>
      <c r="C26" s="55" t="s">
        <v>81</v>
      </c>
      <c r="D26" s="56"/>
      <c r="E26" s="57">
        <v>5</v>
      </c>
      <c r="F26" s="58" t="s">
        <v>29</v>
      </c>
      <c r="G26" s="85"/>
      <c r="H26" s="89" t="s">
        <v>81</v>
      </c>
      <c r="I26" s="56"/>
      <c r="J26" s="58">
        <f>ROUNDUP(E26*0.75,2)</f>
        <v>3.75</v>
      </c>
      <c r="K26" s="58" t="s">
        <v>29</v>
      </c>
      <c r="L26" s="58"/>
      <c r="M26" s="58">
        <f>ROUNDUP((R5*E26)+(R6*J26)+(R7*(E26*2)),2)</f>
        <v>0</v>
      </c>
      <c r="N26" s="93">
        <f>ROUND(M26+(M26*10/100),2)</f>
        <v>0</v>
      </c>
      <c r="O26" s="81"/>
      <c r="P26" s="59" t="s">
        <v>59</v>
      </c>
      <c r="Q26" s="56"/>
      <c r="R26" s="60">
        <v>3</v>
      </c>
      <c r="S26" s="57">
        <f>ROUNDUP(R26*0.75,2)</f>
        <v>2.25</v>
      </c>
      <c r="T26" s="77">
        <f>ROUNDUP((R5*R26)+(R6*S26)+(R7*(R26*2)),2)</f>
        <v>0</v>
      </c>
    </row>
    <row r="27" spans="1:20" ht="18.75" customHeight="1" x14ac:dyDescent="0.15">
      <c r="A27" s="242"/>
      <c r="B27" s="82"/>
      <c r="C27" s="61"/>
      <c r="D27" s="62"/>
      <c r="E27" s="63"/>
      <c r="F27" s="64"/>
      <c r="G27" s="86"/>
      <c r="H27" s="90"/>
      <c r="I27" s="62"/>
      <c r="J27" s="64"/>
      <c r="K27" s="64"/>
      <c r="L27" s="64"/>
      <c r="M27" s="64"/>
      <c r="N27" s="94"/>
      <c r="O27" s="82"/>
      <c r="P27" s="65"/>
      <c r="Q27" s="62"/>
      <c r="R27" s="66"/>
      <c r="S27" s="63"/>
      <c r="T27" s="78"/>
    </row>
    <row r="28" spans="1:20" ht="18.75" customHeight="1" x14ac:dyDescent="0.15">
      <c r="A28" s="242"/>
      <c r="B28" s="81" t="s">
        <v>82</v>
      </c>
      <c r="C28" s="55" t="s">
        <v>83</v>
      </c>
      <c r="D28" s="56"/>
      <c r="E28" s="98">
        <v>0.16666666666666666</v>
      </c>
      <c r="F28" s="58" t="s">
        <v>38</v>
      </c>
      <c r="G28" s="85"/>
      <c r="H28" s="89" t="s">
        <v>83</v>
      </c>
      <c r="I28" s="56"/>
      <c r="J28" s="58">
        <f>ROUNDUP(E28*0.75,2)</f>
        <v>0.13</v>
      </c>
      <c r="K28" s="58" t="s">
        <v>38</v>
      </c>
      <c r="L28" s="58"/>
      <c r="M28" s="58">
        <f>ROUNDUP((R5*E28)+(R6*J28)+(R7*(E28*2)),2)</f>
        <v>0</v>
      </c>
      <c r="N28" s="93">
        <f>M28</f>
        <v>0</v>
      </c>
      <c r="O28" s="81" t="s">
        <v>61</v>
      </c>
      <c r="P28" s="59"/>
      <c r="Q28" s="56"/>
      <c r="R28" s="60"/>
      <c r="S28" s="57"/>
      <c r="T28" s="77"/>
    </row>
    <row r="29" spans="1:20" ht="18.75" customHeight="1" thickBot="1" x14ac:dyDescent="0.2">
      <c r="A29" s="243"/>
      <c r="B29" s="83"/>
      <c r="C29" s="68"/>
      <c r="D29" s="69"/>
      <c r="E29" s="70"/>
      <c r="F29" s="71"/>
      <c r="G29" s="87"/>
      <c r="H29" s="91"/>
      <c r="I29" s="69"/>
      <c r="J29" s="71"/>
      <c r="K29" s="71"/>
      <c r="L29" s="71"/>
      <c r="M29" s="71"/>
      <c r="N29" s="95"/>
      <c r="O29" s="83"/>
      <c r="P29" s="72"/>
      <c r="Q29" s="69"/>
      <c r="R29" s="73"/>
      <c r="S29" s="70"/>
      <c r="T29" s="79"/>
    </row>
  </sheetData>
  <mergeCells count="5">
    <mergeCell ref="H1:O1"/>
    <mergeCell ref="A2:T2"/>
    <mergeCell ref="Q3:T3"/>
    <mergeCell ref="A8:F8"/>
    <mergeCell ref="A10:A29"/>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422</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377</v>
      </c>
      <c r="C13" s="132" t="s">
        <v>151</v>
      </c>
      <c r="D13" s="132" t="s">
        <v>52</v>
      </c>
      <c r="E13" s="56"/>
      <c r="F13" s="56"/>
      <c r="G13" s="132"/>
      <c r="H13" s="143">
        <v>0.7</v>
      </c>
      <c r="I13" s="132" t="s">
        <v>377</v>
      </c>
      <c r="J13" s="132" t="s">
        <v>151</v>
      </c>
      <c r="K13" s="143">
        <v>0.3</v>
      </c>
      <c r="L13" s="132" t="s">
        <v>378</v>
      </c>
      <c r="M13" s="132" t="s">
        <v>151</v>
      </c>
      <c r="N13" s="146">
        <v>0.2</v>
      </c>
      <c r="O13" s="134" t="s">
        <v>52</v>
      </c>
    </row>
    <row r="14" spans="1:21" ht="14.25" x14ac:dyDescent="0.15">
      <c r="A14" s="265"/>
      <c r="B14" s="132"/>
      <c r="C14" s="132" t="s">
        <v>96</v>
      </c>
      <c r="D14" s="132"/>
      <c r="E14" s="56"/>
      <c r="F14" s="56"/>
      <c r="G14" s="132"/>
      <c r="H14" s="135">
        <v>20</v>
      </c>
      <c r="I14" s="132"/>
      <c r="J14" s="132" t="s">
        <v>96</v>
      </c>
      <c r="K14" s="135">
        <v>20</v>
      </c>
      <c r="L14" s="132"/>
      <c r="M14" s="132" t="s">
        <v>96</v>
      </c>
      <c r="N14" s="135">
        <v>20</v>
      </c>
      <c r="O14" s="134"/>
    </row>
    <row r="15" spans="1:21" ht="14.25" x14ac:dyDescent="0.15">
      <c r="A15" s="265"/>
      <c r="B15" s="132"/>
      <c r="C15" s="132"/>
      <c r="D15" s="132"/>
      <c r="E15" s="56"/>
      <c r="F15" s="56"/>
      <c r="G15" s="132" t="s">
        <v>25</v>
      </c>
      <c r="H15" s="135" t="s">
        <v>354</v>
      </c>
      <c r="I15" s="132"/>
      <c r="J15" s="132"/>
      <c r="K15" s="135"/>
      <c r="L15" s="129"/>
      <c r="M15" s="129"/>
      <c r="N15" s="130"/>
      <c r="O15" s="131"/>
    </row>
    <row r="16" spans="1:21" ht="14.25" x14ac:dyDescent="0.15">
      <c r="A16" s="265"/>
      <c r="B16" s="129"/>
      <c r="C16" s="129"/>
      <c r="D16" s="129"/>
      <c r="E16" s="62"/>
      <c r="F16" s="62"/>
      <c r="G16" s="129"/>
      <c r="H16" s="130"/>
      <c r="I16" s="129"/>
      <c r="J16" s="129"/>
      <c r="K16" s="130"/>
      <c r="L16" s="132" t="s">
        <v>379</v>
      </c>
      <c r="M16" s="132" t="s">
        <v>33</v>
      </c>
      <c r="N16" s="135">
        <v>5</v>
      </c>
      <c r="O16" s="134"/>
    </row>
    <row r="17" spans="1:15" ht="14.25" x14ac:dyDescent="0.15">
      <c r="A17" s="265"/>
      <c r="B17" s="132" t="s">
        <v>220</v>
      </c>
      <c r="C17" s="132" t="s">
        <v>221</v>
      </c>
      <c r="D17" s="132"/>
      <c r="E17" s="56"/>
      <c r="F17" s="56"/>
      <c r="G17" s="132"/>
      <c r="H17" s="135">
        <v>20</v>
      </c>
      <c r="I17" s="132" t="s">
        <v>380</v>
      </c>
      <c r="J17" s="132" t="s">
        <v>33</v>
      </c>
      <c r="K17" s="135">
        <v>10</v>
      </c>
      <c r="L17" s="129"/>
      <c r="M17" s="129"/>
      <c r="N17" s="130"/>
      <c r="O17" s="131"/>
    </row>
    <row r="18" spans="1:15" ht="14.25" x14ac:dyDescent="0.15">
      <c r="A18" s="265"/>
      <c r="B18" s="132"/>
      <c r="C18" s="132" t="s">
        <v>33</v>
      </c>
      <c r="D18" s="132"/>
      <c r="E18" s="56"/>
      <c r="F18" s="56"/>
      <c r="G18" s="132"/>
      <c r="H18" s="135">
        <v>10</v>
      </c>
      <c r="I18" s="129"/>
      <c r="J18" s="129"/>
      <c r="K18" s="130"/>
      <c r="L18" s="132" t="s">
        <v>82</v>
      </c>
      <c r="M18" s="132" t="s">
        <v>83</v>
      </c>
      <c r="N18" s="133">
        <v>0.1</v>
      </c>
      <c r="O18" s="134"/>
    </row>
    <row r="19" spans="1:15" ht="14.25" x14ac:dyDescent="0.15">
      <c r="A19" s="265"/>
      <c r="B19" s="129"/>
      <c r="C19" s="129"/>
      <c r="D19" s="129"/>
      <c r="E19" s="62"/>
      <c r="F19" s="62"/>
      <c r="G19" s="129"/>
      <c r="H19" s="130"/>
      <c r="I19" s="132" t="s">
        <v>58</v>
      </c>
      <c r="J19" s="132" t="s">
        <v>157</v>
      </c>
      <c r="K19" s="147">
        <v>0.05</v>
      </c>
      <c r="L19" s="132"/>
      <c r="M19" s="132"/>
      <c r="N19" s="135"/>
      <c r="O19" s="134"/>
    </row>
    <row r="20" spans="1:15" ht="14.25" x14ac:dyDescent="0.15">
      <c r="A20" s="265"/>
      <c r="B20" s="132" t="s">
        <v>58</v>
      </c>
      <c r="C20" s="132" t="s">
        <v>81</v>
      </c>
      <c r="D20" s="132"/>
      <c r="E20" s="56"/>
      <c r="F20" s="56"/>
      <c r="G20" s="132"/>
      <c r="H20" s="135">
        <v>5</v>
      </c>
      <c r="I20" s="132"/>
      <c r="J20" s="132"/>
      <c r="K20" s="135"/>
      <c r="L20" s="132"/>
      <c r="M20" s="132"/>
      <c r="N20" s="135"/>
      <c r="O20" s="134"/>
    </row>
    <row r="21" spans="1:15" ht="14.25" x14ac:dyDescent="0.15">
      <c r="A21" s="265"/>
      <c r="B21" s="132"/>
      <c r="C21" s="132" t="s">
        <v>157</v>
      </c>
      <c r="D21" s="132"/>
      <c r="E21" s="56" t="s">
        <v>27</v>
      </c>
      <c r="F21" s="56"/>
      <c r="G21" s="132"/>
      <c r="H21" s="147">
        <v>0.05</v>
      </c>
      <c r="I21" s="132"/>
      <c r="J21" s="132"/>
      <c r="K21" s="135"/>
      <c r="L21" s="132"/>
      <c r="M21" s="132"/>
      <c r="N21" s="135"/>
      <c r="O21" s="134"/>
    </row>
    <row r="22" spans="1:15" ht="14.25" x14ac:dyDescent="0.15">
      <c r="A22" s="265"/>
      <c r="B22" s="132"/>
      <c r="C22" s="132"/>
      <c r="D22" s="132"/>
      <c r="E22" s="56"/>
      <c r="F22" s="56"/>
      <c r="G22" s="132" t="s">
        <v>25</v>
      </c>
      <c r="H22" s="135" t="s">
        <v>354</v>
      </c>
      <c r="I22" s="129"/>
      <c r="J22" s="129"/>
      <c r="K22" s="130"/>
      <c r="L22" s="132"/>
      <c r="M22" s="132"/>
      <c r="N22" s="135"/>
      <c r="O22" s="134"/>
    </row>
    <row r="23" spans="1:15" ht="14.25" x14ac:dyDescent="0.15">
      <c r="A23" s="265"/>
      <c r="B23" s="132"/>
      <c r="C23" s="132"/>
      <c r="D23" s="132"/>
      <c r="E23" s="56"/>
      <c r="F23" s="137"/>
      <c r="G23" s="132" t="s">
        <v>59</v>
      </c>
      <c r="H23" s="135" t="s">
        <v>356</v>
      </c>
      <c r="I23" s="132" t="s">
        <v>82</v>
      </c>
      <c r="J23" s="132" t="s">
        <v>83</v>
      </c>
      <c r="K23" s="138">
        <v>0.13</v>
      </c>
      <c r="L23" s="132"/>
      <c r="M23" s="132"/>
      <c r="N23" s="135"/>
      <c r="O23" s="134"/>
    </row>
    <row r="24" spans="1:15" ht="14.25" x14ac:dyDescent="0.15">
      <c r="A24" s="265"/>
      <c r="B24" s="129"/>
      <c r="C24" s="129"/>
      <c r="D24" s="129"/>
      <c r="E24" s="62"/>
      <c r="F24" s="62"/>
      <c r="G24" s="129"/>
      <c r="H24" s="130"/>
      <c r="I24" s="132"/>
      <c r="J24" s="132"/>
      <c r="K24" s="135"/>
      <c r="L24" s="132"/>
      <c r="M24" s="132"/>
      <c r="N24" s="135"/>
      <c r="O24" s="134"/>
    </row>
    <row r="25" spans="1:15" ht="14.25" x14ac:dyDescent="0.15">
      <c r="A25" s="265"/>
      <c r="B25" s="132" t="s">
        <v>82</v>
      </c>
      <c r="C25" s="132" t="s">
        <v>83</v>
      </c>
      <c r="D25" s="132"/>
      <c r="E25" s="56"/>
      <c r="F25" s="56"/>
      <c r="G25" s="132"/>
      <c r="H25" s="138">
        <v>0.13</v>
      </c>
      <c r="I25" s="132"/>
      <c r="J25" s="132"/>
      <c r="K25" s="135"/>
      <c r="L25" s="132"/>
      <c r="M25" s="132"/>
      <c r="N25" s="135"/>
      <c r="O25" s="134"/>
    </row>
    <row r="26" spans="1:15" ht="15" thickBot="1" x14ac:dyDescent="0.2">
      <c r="A26" s="266"/>
      <c r="B26" s="139"/>
      <c r="C26" s="139"/>
      <c r="D26" s="139"/>
      <c r="E26" s="69"/>
      <c r="F26" s="69"/>
      <c r="G26" s="139"/>
      <c r="H26" s="140"/>
      <c r="I26" s="139"/>
      <c r="J26" s="139"/>
      <c r="K26" s="140"/>
      <c r="L26" s="139"/>
      <c r="M26" s="139"/>
      <c r="N26" s="140"/>
      <c r="O26" s="141"/>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sheetData>
  <mergeCells count="15">
    <mergeCell ref="L8:N8"/>
    <mergeCell ref="O8:O10"/>
    <mergeCell ref="I9:K9"/>
    <mergeCell ref="L9:N9"/>
    <mergeCell ref="A11:A26"/>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222</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23</v>
      </c>
      <c r="C10" s="48"/>
      <c r="D10" s="49"/>
      <c r="E10" s="54"/>
      <c r="F10" s="51"/>
      <c r="G10" s="84"/>
      <c r="H10" s="88"/>
      <c r="I10" s="49"/>
      <c r="J10" s="51"/>
      <c r="K10" s="51"/>
      <c r="L10" s="51"/>
      <c r="M10" s="51"/>
      <c r="N10" s="92"/>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270</v>
      </c>
      <c r="C12" s="55" t="s">
        <v>51</v>
      </c>
      <c r="D12" s="56"/>
      <c r="E12" s="57">
        <v>1</v>
      </c>
      <c r="F12" s="58" t="s">
        <v>53</v>
      </c>
      <c r="G12" s="85" t="s">
        <v>52</v>
      </c>
      <c r="H12" s="89" t="s">
        <v>51</v>
      </c>
      <c r="I12" s="56"/>
      <c r="J12" s="58">
        <f>ROUNDUP(E12*0.75,2)</f>
        <v>0.75</v>
      </c>
      <c r="K12" s="58" t="s">
        <v>53</v>
      </c>
      <c r="L12" s="58" t="s">
        <v>52</v>
      </c>
      <c r="M12" s="58">
        <f>ROUNDUP((R5*E12)+(R6*J12)+(R7*(E12*2)),2)</f>
        <v>0</v>
      </c>
      <c r="N12" s="93">
        <f>M12</f>
        <v>0</v>
      </c>
      <c r="O12" s="100" t="s">
        <v>268</v>
      </c>
      <c r="P12" s="59" t="s">
        <v>31</v>
      </c>
      <c r="Q12" s="56"/>
      <c r="R12" s="60">
        <v>3</v>
      </c>
      <c r="S12" s="57">
        <f t="shared" ref="S12:S17" si="0">ROUNDUP(R12*0.75,2)</f>
        <v>2.25</v>
      </c>
      <c r="T12" s="77">
        <f>ROUNDUP((R5*R12)+(R6*S12)+(R7*(R12*2)),2)</f>
        <v>0</v>
      </c>
    </row>
    <row r="13" spans="1:21" ht="18.75" customHeight="1" x14ac:dyDescent="0.15">
      <c r="A13" s="242"/>
      <c r="B13" s="101" t="s">
        <v>271</v>
      </c>
      <c r="C13" s="55" t="s">
        <v>223</v>
      </c>
      <c r="D13" s="56"/>
      <c r="E13" s="57">
        <v>20</v>
      </c>
      <c r="F13" s="58" t="s">
        <v>29</v>
      </c>
      <c r="G13" s="85"/>
      <c r="H13" s="89" t="s">
        <v>223</v>
      </c>
      <c r="I13" s="56"/>
      <c r="J13" s="58">
        <f>ROUNDUP(E13*0.75,2)</f>
        <v>15</v>
      </c>
      <c r="K13" s="58" t="s">
        <v>29</v>
      </c>
      <c r="L13" s="58"/>
      <c r="M13" s="58">
        <f>ROUNDUP((R5*E13)+(R6*J13)+(R7*(E13*2)),2)</f>
        <v>0</v>
      </c>
      <c r="N13" s="93">
        <f>M13</f>
        <v>0</v>
      </c>
      <c r="O13" s="36" t="s">
        <v>264</v>
      </c>
      <c r="P13" s="59" t="s">
        <v>54</v>
      </c>
      <c r="Q13" s="56"/>
      <c r="R13" s="60">
        <v>3</v>
      </c>
      <c r="S13" s="57">
        <f t="shared" si="0"/>
        <v>2.25</v>
      </c>
      <c r="T13" s="77">
        <f>ROUNDUP((R5*R13)+(R6*S13)+(R7*(R13*2)),2)</f>
        <v>0</v>
      </c>
    </row>
    <row r="14" spans="1:21" ht="18.75" customHeight="1" x14ac:dyDescent="0.15">
      <c r="A14" s="242"/>
      <c r="B14" s="81"/>
      <c r="C14" s="55" t="s">
        <v>90</v>
      </c>
      <c r="D14" s="56"/>
      <c r="E14" s="57">
        <v>3</v>
      </c>
      <c r="F14" s="58" t="s">
        <v>29</v>
      </c>
      <c r="G14" s="85"/>
      <c r="H14" s="89" t="s">
        <v>90</v>
      </c>
      <c r="I14" s="56"/>
      <c r="J14" s="58">
        <f>ROUNDUP(E14*0.75,2)</f>
        <v>2.25</v>
      </c>
      <c r="K14" s="58" t="s">
        <v>29</v>
      </c>
      <c r="L14" s="58"/>
      <c r="M14" s="58">
        <f>ROUNDUP((R5*E14)+(R6*J14)+(R7*(E14*2)),2)</f>
        <v>0</v>
      </c>
      <c r="N14" s="93">
        <f>M14</f>
        <v>0</v>
      </c>
      <c r="O14" s="81" t="s">
        <v>179</v>
      </c>
      <c r="P14" s="59" t="s">
        <v>55</v>
      </c>
      <c r="Q14" s="56"/>
      <c r="R14" s="60">
        <v>3</v>
      </c>
      <c r="S14" s="57">
        <f t="shared" si="0"/>
        <v>2.25</v>
      </c>
      <c r="T14" s="77">
        <f>ROUNDUP((R5*R14)+(R6*S14)+(R7*(R14*2)),2)</f>
        <v>0</v>
      </c>
    </row>
    <row r="15" spans="1:21" ht="18.75" customHeight="1" x14ac:dyDescent="0.15">
      <c r="A15" s="242"/>
      <c r="B15" s="81"/>
      <c r="C15" s="55" t="s">
        <v>109</v>
      </c>
      <c r="D15" s="56"/>
      <c r="E15" s="57">
        <v>2</v>
      </c>
      <c r="F15" s="58" t="s">
        <v>29</v>
      </c>
      <c r="G15" s="85"/>
      <c r="H15" s="89" t="s">
        <v>109</v>
      </c>
      <c r="I15" s="56"/>
      <c r="J15" s="58">
        <f>ROUNDUP(E15*0.75,2)</f>
        <v>1.5</v>
      </c>
      <c r="K15" s="58" t="s">
        <v>29</v>
      </c>
      <c r="L15" s="58"/>
      <c r="M15" s="58">
        <f>ROUNDUP((R5*E15)+(R6*J15)+(R7*(E15*2)),2)</f>
        <v>0</v>
      </c>
      <c r="N15" s="93">
        <f>M15</f>
        <v>0</v>
      </c>
      <c r="O15" s="81" t="s">
        <v>299</v>
      </c>
      <c r="P15" s="59" t="s">
        <v>26</v>
      </c>
      <c r="Q15" s="56" t="s">
        <v>27</v>
      </c>
      <c r="R15" s="60">
        <v>1.5</v>
      </c>
      <c r="S15" s="57">
        <f t="shared" si="0"/>
        <v>1.1300000000000001</v>
      </c>
      <c r="T15" s="77">
        <f>ROUNDUP((R5*R15)+(R6*S15)+(R7*(R15*2)),2)</f>
        <v>0</v>
      </c>
    </row>
    <row r="16" spans="1:21" ht="18.75" customHeight="1" x14ac:dyDescent="0.15">
      <c r="A16" s="242"/>
      <c r="B16" s="81"/>
      <c r="C16" s="55"/>
      <c r="D16" s="56"/>
      <c r="E16" s="57"/>
      <c r="F16" s="58"/>
      <c r="G16" s="85"/>
      <c r="H16" s="89"/>
      <c r="I16" s="56"/>
      <c r="J16" s="58"/>
      <c r="K16" s="58"/>
      <c r="L16" s="58"/>
      <c r="M16" s="58"/>
      <c r="N16" s="93"/>
      <c r="O16" s="81" t="s">
        <v>28</v>
      </c>
      <c r="P16" s="59" t="s">
        <v>50</v>
      </c>
      <c r="Q16" s="56"/>
      <c r="R16" s="60">
        <v>2</v>
      </c>
      <c r="S16" s="57">
        <f t="shared" si="0"/>
        <v>1.5</v>
      </c>
      <c r="T16" s="77">
        <f>ROUNDUP((R5*R16)+(R6*S16)+(R7*(R16*2)),2)</f>
        <v>0</v>
      </c>
    </row>
    <row r="17" spans="1:20" ht="18.75" customHeight="1" x14ac:dyDescent="0.15">
      <c r="A17" s="242"/>
      <c r="B17" s="81"/>
      <c r="C17" s="55"/>
      <c r="D17" s="56"/>
      <c r="E17" s="57"/>
      <c r="F17" s="58"/>
      <c r="G17" s="85"/>
      <c r="H17" s="89"/>
      <c r="I17" s="56"/>
      <c r="J17" s="58"/>
      <c r="K17" s="58"/>
      <c r="L17" s="58"/>
      <c r="M17" s="58"/>
      <c r="N17" s="93"/>
      <c r="O17" s="81"/>
      <c r="P17" s="59" t="s">
        <v>34</v>
      </c>
      <c r="Q17" s="56"/>
      <c r="R17" s="60">
        <v>1</v>
      </c>
      <c r="S17" s="57">
        <f t="shared" si="0"/>
        <v>0.75</v>
      </c>
      <c r="T17" s="77">
        <f>ROUNDUP((R5*R17)+(R6*S17)+(R7*(R17*2)),2)</f>
        <v>0</v>
      </c>
    </row>
    <row r="18" spans="1:20" ht="18.75" customHeight="1" x14ac:dyDescent="0.15">
      <c r="A18" s="242"/>
      <c r="B18" s="82"/>
      <c r="C18" s="61"/>
      <c r="D18" s="62"/>
      <c r="E18" s="63"/>
      <c r="F18" s="64"/>
      <c r="G18" s="86"/>
      <c r="H18" s="90"/>
      <c r="I18" s="62"/>
      <c r="J18" s="64"/>
      <c r="K18" s="64"/>
      <c r="L18" s="64"/>
      <c r="M18" s="64"/>
      <c r="N18" s="94"/>
      <c r="O18" s="82"/>
      <c r="P18" s="65"/>
      <c r="Q18" s="62"/>
      <c r="R18" s="66"/>
      <c r="S18" s="63"/>
      <c r="T18" s="78"/>
    </row>
    <row r="19" spans="1:20" ht="18.75" customHeight="1" x14ac:dyDescent="0.15">
      <c r="A19" s="242"/>
      <c r="B19" s="81" t="s">
        <v>272</v>
      </c>
      <c r="C19" s="55" t="s">
        <v>224</v>
      </c>
      <c r="D19" s="56"/>
      <c r="E19" s="57">
        <v>30</v>
      </c>
      <c r="F19" s="58" t="s">
        <v>29</v>
      </c>
      <c r="G19" s="85"/>
      <c r="H19" s="89" t="s">
        <v>224</v>
      </c>
      <c r="I19" s="56"/>
      <c r="J19" s="58">
        <f>ROUNDUP(E19*0.75,2)</f>
        <v>22.5</v>
      </c>
      <c r="K19" s="58" t="s">
        <v>29</v>
      </c>
      <c r="L19" s="58"/>
      <c r="M19" s="58">
        <f>ROUNDUP((R5*E19)+(R6*J19)+(R7*(E19*2)),2)</f>
        <v>0</v>
      </c>
      <c r="N19" s="93">
        <f>M19</f>
        <v>0</v>
      </c>
      <c r="O19" s="81" t="s">
        <v>182</v>
      </c>
      <c r="P19" s="59" t="s">
        <v>50</v>
      </c>
      <c r="Q19" s="56"/>
      <c r="R19" s="60">
        <v>1</v>
      </c>
      <c r="S19" s="57">
        <f>ROUNDUP(R19*0.75,2)</f>
        <v>0.75</v>
      </c>
      <c r="T19" s="77">
        <f>ROUNDUP((R5*R19)+(R6*S19)+(R7*(R19*2)),2)</f>
        <v>0</v>
      </c>
    </row>
    <row r="20" spans="1:20" ht="18.75" customHeight="1" x14ac:dyDescent="0.15">
      <c r="A20" s="242"/>
      <c r="B20" s="101" t="s">
        <v>273</v>
      </c>
      <c r="C20" s="55" t="s">
        <v>225</v>
      </c>
      <c r="D20" s="56"/>
      <c r="E20" s="57">
        <v>10</v>
      </c>
      <c r="F20" s="58" t="s">
        <v>29</v>
      </c>
      <c r="G20" s="85"/>
      <c r="H20" s="89" t="s">
        <v>225</v>
      </c>
      <c r="I20" s="56"/>
      <c r="J20" s="58">
        <f>ROUNDUP(E20*0.75,2)</f>
        <v>7.5</v>
      </c>
      <c r="K20" s="58" t="s">
        <v>29</v>
      </c>
      <c r="L20" s="58"/>
      <c r="M20" s="58">
        <f>ROUNDUP((R5*E20)+(R6*J20)+(R7*(E20*2)),2)</f>
        <v>0</v>
      </c>
      <c r="N20" s="93">
        <f>M20</f>
        <v>0</v>
      </c>
      <c r="O20" s="100" t="s">
        <v>329</v>
      </c>
      <c r="P20" s="59" t="s">
        <v>26</v>
      </c>
      <c r="Q20" s="56" t="s">
        <v>27</v>
      </c>
      <c r="R20" s="60">
        <v>1</v>
      </c>
      <c r="S20" s="57">
        <f>ROUNDUP(R20*0.75,2)</f>
        <v>0.75</v>
      </c>
      <c r="T20" s="77">
        <f>ROUNDUP((R5*R20)+(R6*S20)+(R7*(R20*2)),2)</f>
        <v>0</v>
      </c>
    </row>
    <row r="21" spans="1:20" ht="18.75" customHeight="1" x14ac:dyDescent="0.15">
      <c r="A21" s="242"/>
      <c r="B21" s="81"/>
      <c r="C21" s="55"/>
      <c r="D21" s="56"/>
      <c r="E21" s="57"/>
      <c r="F21" s="58"/>
      <c r="G21" s="85"/>
      <c r="H21" s="89"/>
      <c r="I21" s="56"/>
      <c r="J21" s="58"/>
      <c r="K21" s="58"/>
      <c r="L21" s="58"/>
      <c r="M21" s="58"/>
      <c r="N21" s="93"/>
      <c r="O21" s="81" t="s">
        <v>28</v>
      </c>
      <c r="P21" s="59" t="s">
        <v>88</v>
      </c>
      <c r="Q21" s="56"/>
      <c r="R21" s="60">
        <v>2</v>
      </c>
      <c r="S21" s="57">
        <f>ROUNDUP(R21*0.75,2)</f>
        <v>1.5</v>
      </c>
      <c r="T21" s="77">
        <f>ROUNDUP((R5*R21)+(R6*S21)+(R7*(R21*2)),2)</f>
        <v>0</v>
      </c>
    </row>
    <row r="22" spans="1:20" ht="18.75" customHeight="1" x14ac:dyDescent="0.15">
      <c r="A22" s="242"/>
      <c r="B22" s="81"/>
      <c r="C22" s="55"/>
      <c r="D22" s="56"/>
      <c r="E22" s="57"/>
      <c r="F22" s="58"/>
      <c r="G22" s="85"/>
      <c r="H22" s="89"/>
      <c r="I22" s="56"/>
      <c r="J22" s="58"/>
      <c r="K22" s="58"/>
      <c r="L22" s="58"/>
      <c r="M22" s="58"/>
      <c r="N22" s="93"/>
      <c r="O22" s="81"/>
      <c r="P22" s="59" t="s">
        <v>54</v>
      </c>
      <c r="Q22" s="56"/>
      <c r="R22" s="60">
        <v>2</v>
      </c>
      <c r="S22" s="57">
        <f>ROUNDUP(R22*0.75,2)</f>
        <v>1.5</v>
      </c>
      <c r="T22" s="77">
        <f>ROUNDUP((R5*R22)+(R6*S22)+(R7*(R22*2)),2)</f>
        <v>0</v>
      </c>
    </row>
    <row r="23" spans="1:20" ht="18.75" customHeight="1" x14ac:dyDescent="0.15">
      <c r="A23" s="242"/>
      <c r="B23" s="82"/>
      <c r="C23" s="61"/>
      <c r="D23" s="62"/>
      <c r="E23" s="63"/>
      <c r="F23" s="64"/>
      <c r="G23" s="86"/>
      <c r="H23" s="90"/>
      <c r="I23" s="62"/>
      <c r="J23" s="64"/>
      <c r="K23" s="64"/>
      <c r="L23" s="64"/>
      <c r="M23" s="64"/>
      <c r="N23" s="94"/>
      <c r="O23" s="82"/>
      <c r="P23" s="65"/>
      <c r="Q23" s="62"/>
      <c r="R23" s="66"/>
      <c r="S23" s="63"/>
      <c r="T23" s="78"/>
    </row>
    <row r="24" spans="1:20" ht="18.75" customHeight="1" x14ac:dyDescent="0.15">
      <c r="A24" s="242"/>
      <c r="B24" s="81" t="s">
        <v>58</v>
      </c>
      <c r="C24" s="55" t="s">
        <v>84</v>
      </c>
      <c r="D24" s="56" t="s">
        <v>27</v>
      </c>
      <c r="E24" s="97">
        <v>0.1</v>
      </c>
      <c r="F24" s="58" t="s">
        <v>24</v>
      </c>
      <c r="G24" s="85"/>
      <c r="H24" s="89" t="s">
        <v>84</v>
      </c>
      <c r="I24" s="56" t="s">
        <v>27</v>
      </c>
      <c r="J24" s="58">
        <f>ROUNDUP(E24*0.75,2)</f>
        <v>0.08</v>
      </c>
      <c r="K24" s="58" t="s">
        <v>24</v>
      </c>
      <c r="L24" s="58"/>
      <c r="M24" s="58">
        <f>ROUNDUP((R5*E24)+(R6*J24)+(R7*(E24*2)),2)</f>
        <v>0</v>
      </c>
      <c r="N24" s="93">
        <f>M24</f>
        <v>0</v>
      </c>
      <c r="O24" s="81" t="s">
        <v>28</v>
      </c>
      <c r="P24" s="59" t="s">
        <v>25</v>
      </c>
      <c r="Q24" s="56"/>
      <c r="R24" s="60">
        <v>100</v>
      </c>
      <c r="S24" s="57">
        <f>ROUNDUP(R24*0.75,2)</f>
        <v>75</v>
      </c>
      <c r="T24" s="77">
        <f>ROUNDUP((R5*R24)+(R6*S24)+(R7*(R24*2)),2)</f>
        <v>0</v>
      </c>
    </row>
    <row r="25" spans="1:20" ht="18.75" customHeight="1" x14ac:dyDescent="0.15">
      <c r="A25" s="242"/>
      <c r="B25" s="81"/>
      <c r="C25" s="55" t="s">
        <v>144</v>
      </c>
      <c r="D25" s="56"/>
      <c r="E25" s="57">
        <v>0.5</v>
      </c>
      <c r="F25" s="58" t="s">
        <v>29</v>
      </c>
      <c r="G25" s="85"/>
      <c r="H25" s="89" t="s">
        <v>144</v>
      </c>
      <c r="I25" s="56"/>
      <c r="J25" s="58">
        <f>ROUNDUP(E25*0.75,2)</f>
        <v>0.38</v>
      </c>
      <c r="K25" s="58" t="s">
        <v>29</v>
      </c>
      <c r="L25" s="58"/>
      <c r="M25" s="58">
        <f>ROUNDUP((R5*E25)+(R6*J25)+(R7*(E25*2)),2)</f>
        <v>0</v>
      </c>
      <c r="N25" s="93">
        <f>M25</f>
        <v>0</v>
      </c>
      <c r="O25" s="81"/>
      <c r="P25" s="59" t="s">
        <v>59</v>
      </c>
      <c r="Q25" s="56"/>
      <c r="R25" s="60">
        <v>3</v>
      </c>
      <c r="S25" s="57">
        <f>ROUNDUP(R25*0.75,2)</f>
        <v>2.25</v>
      </c>
      <c r="T25" s="77">
        <f>ROUNDUP((R5*R25)+(R6*S25)+(R7*(R25*2)),2)</f>
        <v>0</v>
      </c>
    </row>
    <row r="26" spans="1:20" ht="18.75" customHeight="1" x14ac:dyDescent="0.15">
      <c r="A26" s="242"/>
      <c r="B26" s="82"/>
      <c r="C26" s="61"/>
      <c r="D26" s="62"/>
      <c r="E26" s="63"/>
      <c r="F26" s="64"/>
      <c r="G26" s="86"/>
      <c r="H26" s="90"/>
      <c r="I26" s="62"/>
      <c r="J26" s="64"/>
      <c r="K26" s="64"/>
      <c r="L26" s="64"/>
      <c r="M26" s="64"/>
      <c r="N26" s="94"/>
      <c r="O26" s="82"/>
      <c r="P26" s="65"/>
      <c r="Q26" s="62"/>
      <c r="R26" s="66"/>
      <c r="S26" s="63"/>
      <c r="T26" s="78"/>
    </row>
    <row r="27" spans="1:20" ht="18.75" customHeight="1" x14ac:dyDescent="0.15">
      <c r="A27" s="242"/>
      <c r="B27" s="81" t="s">
        <v>164</v>
      </c>
      <c r="C27" s="55" t="s">
        <v>263</v>
      </c>
      <c r="D27" s="56"/>
      <c r="E27" s="57">
        <v>20</v>
      </c>
      <c r="F27" s="58" t="s">
        <v>29</v>
      </c>
      <c r="G27" s="85"/>
      <c r="H27" s="89" t="s">
        <v>263</v>
      </c>
      <c r="I27" s="56"/>
      <c r="J27" s="58">
        <f>ROUNDUP(E27*0.75,2)</f>
        <v>15</v>
      </c>
      <c r="K27" s="58" t="s">
        <v>29</v>
      </c>
      <c r="L27" s="58"/>
      <c r="M27" s="58">
        <f>ROUNDUP((R5*E27)+(R6*J27)+(R7*(E27*2)),2)</f>
        <v>0</v>
      </c>
      <c r="N27" s="93">
        <f>M27</f>
        <v>0</v>
      </c>
      <c r="O27" s="81"/>
      <c r="P27" s="59"/>
      <c r="Q27" s="56"/>
      <c r="R27" s="60"/>
      <c r="S27" s="57"/>
      <c r="T27" s="77"/>
    </row>
    <row r="28" spans="1:20" ht="18.75" customHeight="1" thickBot="1" x14ac:dyDescent="0.2">
      <c r="A28" s="243"/>
      <c r="B28" s="83"/>
      <c r="C28" s="68"/>
      <c r="D28" s="69"/>
      <c r="E28" s="70"/>
      <c r="F28" s="71"/>
      <c r="G28" s="87"/>
      <c r="H28" s="91"/>
      <c r="I28" s="69"/>
      <c r="J28" s="71"/>
      <c r="K28" s="71"/>
      <c r="L28" s="71"/>
      <c r="M28" s="71"/>
      <c r="N28" s="95"/>
      <c r="O28" s="83"/>
      <c r="P28" s="72"/>
      <c r="Q28" s="69"/>
      <c r="R28" s="73"/>
      <c r="S28" s="70"/>
      <c r="T28" s="79"/>
    </row>
  </sheetData>
  <mergeCells count="5">
    <mergeCell ref="H1:O1"/>
    <mergeCell ref="A2:T2"/>
    <mergeCell ref="Q3:T3"/>
    <mergeCell ref="A8:F8"/>
    <mergeCell ref="A10:A28"/>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423</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391</v>
      </c>
      <c r="C13" s="132" t="s">
        <v>51</v>
      </c>
      <c r="D13" s="132" t="s">
        <v>52</v>
      </c>
      <c r="E13" s="56"/>
      <c r="F13" s="56"/>
      <c r="G13" s="132"/>
      <c r="H13" s="143">
        <v>0.7</v>
      </c>
      <c r="I13" s="132" t="s">
        <v>424</v>
      </c>
      <c r="J13" s="132" t="s">
        <v>51</v>
      </c>
      <c r="K13" s="143">
        <v>0.3</v>
      </c>
      <c r="L13" s="132" t="s">
        <v>425</v>
      </c>
      <c r="M13" s="132" t="s">
        <v>51</v>
      </c>
      <c r="N13" s="146">
        <v>0.2</v>
      </c>
      <c r="O13" s="134" t="s">
        <v>52</v>
      </c>
    </row>
    <row r="14" spans="1:21" ht="14.25" x14ac:dyDescent="0.15">
      <c r="A14" s="265"/>
      <c r="B14" s="132"/>
      <c r="C14" s="132" t="s">
        <v>223</v>
      </c>
      <c r="D14" s="132"/>
      <c r="E14" s="56"/>
      <c r="F14" s="56"/>
      <c r="G14" s="132"/>
      <c r="H14" s="135">
        <v>10</v>
      </c>
      <c r="I14" s="132"/>
      <c r="J14" s="132" t="s">
        <v>225</v>
      </c>
      <c r="K14" s="135">
        <v>10</v>
      </c>
      <c r="L14" s="129"/>
      <c r="M14" s="129"/>
      <c r="N14" s="130"/>
      <c r="O14" s="131"/>
    </row>
    <row r="15" spans="1:21" ht="14.25" x14ac:dyDescent="0.15">
      <c r="A15" s="265"/>
      <c r="B15" s="132"/>
      <c r="C15" s="132" t="s">
        <v>225</v>
      </c>
      <c r="D15" s="132"/>
      <c r="E15" s="56"/>
      <c r="F15" s="56"/>
      <c r="G15" s="132"/>
      <c r="H15" s="135">
        <v>10</v>
      </c>
      <c r="I15" s="132"/>
      <c r="J15" s="132"/>
      <c r="K15" s="135"/>
      <c r="L15" s="132" t="s">
        <v>394</v>
      </c>
      <c r="M15" s="132" t="s">
        <v>224</v>
      </c>
      <c r="N15" s="135">
        <v>30</v>
      </c>
      <c r="O15" s="134"/>
    </row>
    <row r="16" spans="1:21" ht="14.25" x14ac:dyDescent="0.15">
      <c r="A16" s="265"/>
      <c r="B16" s="132"/>
      <c r="C16" s="132"/>
      <c r="D16" s="132"/>
      <c r="E16" s="56"/>
      <c r="F16" s="56"/>
      <c r="G16" s="132" t="s">
        <v>25</v>
      </c>
      <c r="H16" s="135" t="s">
        <v>354</v>
      </c>
      <c r="I16" s="129"/>
      <c r="J16" s="129"/>
      <c r="K16" s="130"/>
      <c r="L16" s="132"/>
      <c r="M16" s="132"/>
      <c r="N16" s="135"/>
      <c r="O16" s="134"/>
    </row>
    <row r="17" spans="1:15" ht="14.25" x14ac:dyDescent="0.15">
      <c r="A17" s="265"/>
      <c r="B17" s="129"/>
      <c r="C17" s="129"/>
      <c r="D17" s="129"/>
      <c r="E17" s="62"/>
      <c r="F17" s="62"/>
      <c r="G17" s="129"/>
      <c r="H17" s="130"/>
      <c r="I17" s="132" t="s">
        <v>395</v>
      </c>
      <c r="J17" s="132" t="s">
        <v>224</v>
      </c>
      <c r="K17" s="135">
        <v>30</v>
      </c>
      <c r="L17" s="132"/>
      <c r="M17" s="132"/>
      <c r="N17" s="135"/>
      <c r="O17" s="134"/>
    </row>
    <row r="18" spans="1:15" ht="14.25" x14ac:dyDescent="0.15">
      <c r="A18" s="265"/>
      <c r="B18" s="132" t="s">
        <v>395</v>
      </c>
      <c r="C18" s="132" t="s">
        <v>224</v>
      </c>
      <c r="D18" s="132"/>
      <c r="E18" s="56"/>
      <c r="F18" s="56"/>
      <c r="G18" s="132"/>
      <c r="H18" s="135">
        <v>30</v>
      </c>
      <c r="I18" s="129"/>
      <c r="J18" s="129"/>
      <c r="K18" s="130"/>
      <c r="L18" s="132"/>
      <c r="M18" s="132"/>
      <c r="N18" s="135"/>
      <c r="O18" s="134"/>
    </row>
    <row r="19" spans="1:15" ht="14.25" x14ac:dyDescent="0.15">
      <c r="A19" s="265"/>
      <c r="B19" s="129"/>
      <c r="C19" s="129"/>
      <c r="D19" s="129"/>
      <c r="E19" s="62"/>
      <c r="F19" s="62"/>
      <c r="G19" s="129"/>
      <c r="H19" s="130"/>
      <c r="I19" s="132" t="s">
        <v>58</v>
      </c>
      <c r="J19" s="132" t="s">
        <v>84</v>
      </c>
      <c r="K19" s="147">
        <v>0.05</v>
      </c>
      <c r="L19" s="132"/>
      <c r="M19" s="132"/>
      <c r="N19" s="135"/>
      <c r="O19" s="134"/>
    </row>
    <row r="20" spans="1:15" ht="14.25" x14ac:dyDescent="0.15">
      <c r="A20" s="265"/>
      <c r="B20" s="132" t="s">
        <v>58</v>
      </c>
      <c r="C20" s="132" t="s">
        <v>84</v>
      </c>
      <c r="D20" s="132"/>
      <c r="E20" s="56" t="s">
        <v>27</v>
      </c>
      <c r="F20" s="56"/>
      <c r="G20" s="132"/>
      <c r="H20" s="147">
        <v>0.05</v>
      </c>
      <c r="I20" s="132"/>
      <c r="J20" s="132" t="s">
        <v>144</v>
      </c>
      <c r="K20" s="135">
        <v>0.5</v>
      </c>
      <c r="L20" s="132"/>
      <c r="M20" s="132"/>
      <c r="N20" s="135"/>
      <c r="O20" s="134"/>
    </row>
    <row r="21" spans="1:15" ht="14.25" x14ac:dyDescent="0.15">
      <c r="A21" s="265"/>
      <c r="B21" s="132"/>
      <c r="C21" s="132" t="s">
        <v>144</v>
      </c>
      <c r="D21" s="132"/>
      <c r="E21" s="56"/>
      <c r="F21" s="56"/>
      <c r="G21" s="132"/>
      <c r="H21" s="135">
        <v>0.5</v>
      </c>
      <c r="I21" s="132"/>
      <c r="J21" s="132"/>
      <c r="K21" s="135"/>
      <c r="L21" s="132"/>
      <c r="M21" s="132"/>
      <c r="N21" s="135"/>
      <c r="O21" s="134"/>
    </row>
    <row r="22" spans="1:15" ht="14.25" x14ac:dyDescent="0.15">
      <c r="A22" s="265"/>
      <c r="B22" s="132"/>
      <c r="C22" s="132"/>
      <c r="D22" s="132"/>
      <c r="E22" s="56"/>
      <c r="F22" s="56"/>
      <c r="G22" s="132" t="s">
        <v>25</v>
      </c>
      <c r="H22" s="135" t="s">
        <v>354</v>
      </c>
      <c r="I22" s="132"/>
      <c r="J22" s="132"/>
      <c r="K22" s="135"/>
      <c r="L22" s="132"/>
      <c r="M22" s="132"/>
      <c r="N22" s="135"/>
      <c r="O22" s="134"/>
    </row>
    <row r="23" spans="1:15" ht="14.25" x14ac:dyDescent="0.15">
      <c r="A23" s="265"/>
      <c r="B23" s="132"/>
      <c r="C23" s="132"/>
      <c r="D23" s="132"/>
      <c r="E23" s="56"/>
      <c r="F23" s="137"/>
      <c r="G23" s="132" t="s">
        <v>59</v>
      </c>
      <c r="H23" s="135" t="s">
        <v>356</v>
      </c>
      <c r="I23" s="132"/>
      <c r="J23" s="132"/>
      <c r="K23" s="135"/>
      <c r="L23" s="132"/>
      <c r="M23" s="132"/>
      <c r="N23" s="135"/>
      <c r="O23" s="134"/>
    </row>
    <row r="24" spans="1:15" ht="15" thickBot="1" x14ac:dyDescent="0.2">
      <c r="A24" s="266"/>
      <c r="B24" s="139"/>
      <c r="C24" s="139"/>
      <c r="D24" s="139"/>
      <c r="E24" s="69"/>
      <c r="F24" s="69"/>
      <c r="G24" s="139"/>
      <c r="H24" s="140"/>
      <c r="I24" s="139"/>
      <c r="J24" s="139"/>
      <c r="K24" s="140"/>
      <c r="L24" s="139"/>
      <c r="M24" s="139"/>
      <c r="N24" s="140"/>
      <c r="O24" s="141"/>
    </row>
    <row r="25" spans="1:15" ht="14.25" x14ac:dyDescent="0.15">
      <c r="B25" s="105"/>
      <c r="C25" s="105"/>
      <c r="D25" s="105"/>
      <c r="G25" s="105"/>
      <c r="H25" s="142"/>
      <c r="I25" s="105"/>
      <c r="J25" s="105"/>
      <c r="K25" s="142"/>
      <c r="L25" s="105"/>
      <c r="M25" s="105"/>
      <c r="N25" s="142"/>
    </row>
    <row r="26" spans="1:15" ht="14.25" x14ac:dyDescent="0.15">
      <c r="B26" s="105"/>
      <c r="C26" s="105"/>
      <c r="D26" s="105"/>
      <c r="G26" s="105"/>
      <c r="H26" s="142"/>
      <c r="I26" s="105"/>
      <c r="J26" s="105"/>
      <c r="K26" s="142"/>
      <c r="L26" s="105"/>
      <c r="M26" s="105"/>
      <c r="N26" s="142"/>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sheetData>
  <mergeCells count="15">
    <mergeCell ref="L8:N8"/>
    <mergeCell ref="O8:O10"/>
    <mergeCell ref="I9:K9"/>
    <mergeCell ref="L9:N9"/>
    <mergeCell ref="A11:A24"/>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showZeros="0" view="pageBreakPreview" zoomScale="60" zoomScaleNormal="7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226</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183</v>
      </c>
      <c r="C10" s="48" t="s">
        <v>188</v>
      </c>
      <c r="D10" s="49" t="s">
        <v>44</v>
      </c>
      <c r="E10" s="54">
        <v>40</v>
      </c>
      <c r="F10" s="51" t="s">
        <v>29</v>
      </c>
      <c r="G10" s="84"/>
      <c r="H10" s="88" t="s">
        <v>188</v>
      </c>
      <c r="I10" s="49" t="s">
        <v>44</v>
      </c>
      <c r="J10" s="51">
        <f>ROUNDUP(E10*0.75,2)</f>
        <v>30</v>
      </c>
      <c r="K10" s="51" t="s">
        <v>29</v>
      </c>
      <c r="L10" s="51"/>
      <c r="M10" s="51">
        <f>ROUNDUP((R5*E10)+(R6*J10)+(R7*(E10*2)),2)</f>
        <v>0</v>
      </c>
      <c r="N10" s="92">
        <f>M10</f>
        <v>0</v>
      </c>
      <c r="O10" s="80" t="s">
        <v>184</v>
      </c>
      <c r="P10" s="52" t="s">
        <v>30</v>
      </c>
      <c r="Q10" s="49"/>
      <c r="R10" s="53">
        <v>0.5</v>
      </c>
      <c r="S10" s="54">
        <f t="shared" ref="S10:S15" si="0">ROUNDUP(R10*0.75,2)</f>
        <v>0.38</v>
      </c>
      <c r="T10" s="76">
        <f>ROUNDUP((R5*R10)+(R6*S10)+(R7*(R10*2)),2)</f>
        <v>0</v>
      </c>
    </row>
    <row r="11" spans="1:21" ht="18.75" customHeight="1" x14ac:dyDescent="0.15">
      <c r="A11" s="242"/>
      <c r="B11" s="81"/>
      <c r="C11" s="55" t="s">
        <v>69</v>
      </c>
      <c r="D11" s="56"/>
      <c r="E11" s="57">
        <v>30</v>
      </c>
      <c r="F11" s="58" t="s">
        <v>29</v>
      </c>
      <c r="G11" s="85"/>
      <c r="H11" s="89" t="s">
        <v>69</v>
      </c>
      <c r="I11" s="56"/>
      <c r="J11" s="58">
        <f>ROUNDUP(E11*0.75,2)</f>
        <v>22.5</v>
      </c>
      <c r="K11" s="58" t="s">
        <v>29</v>
      </c>
      <c r="L11" s="58"/>
      <c r="M11" s="58">
        <f>ROUNDUP((R5*E11)+(R6*J11)+(R7*(E11*2)),2)</f>
        <v>0</v>
      </c>
      <c r="N11" s="93">
        <f>M11</f>
        <v>0</v>
      </c>
      <c r="O11" s="81" t="s">
        <v>185</v>
      </c>
      <c r="P11" s="59" t="s">
        <v>54</v>
      </c>
      <c r="Q11" s="56"/>
      <c r="R11" s="60">
        <v>2</v>
      </c>
      <c r="S11" s="57">
        <f t="shared" si="0"/>
        <v>1.5</v>
      </c>
      <c r="T11" s="77">
        <f>ROUNDUP((R5*R11)+(R6*S11)+(R7*(R11*2)),2)</f>
        <v>0</v>
      </c>
    </row>
    <row r="12" spans="1:21" ht="18.75" customHeight="1" x14ac:dyDescent="0.15">
      <c r="A12" s="242"/>
      <c r="B12" s="81"/>
      <c r="C12" s="55" t="s">
        <v>32</v>
      </c>
      <c r="D12" s="56"/>
      <c r="E12" s="57">
        <v>20</v>
      </c>
      <c r="F12" s="58" t="s">
        <v>29</v>
      </c>
      <c r="G12" s="85"/>
      <c r="H12" s="89" t="s">
        <v>32</v>
      </c>
      <c r="I12" s="56"/>
      <c r="J12" s="58">
        <f>ROUNDUP(E12*0.75,2)</f>
        <v>15</v>
      </c>
      <c r="K12" s="58" t="s">
        <v>29</v>
      </c>
      <c r="L12" s="58"/>
      <c r="M12" s="58">
        <f>ROUNDUP((R5*E12)+(R6*J12)+(R7*(E12*2)),2)</f>
        <v>0</v>
      </c>
      <c r="N12" s="93">
        <f>ROUND(M12+(M12*15/100),2)</f>
        <v>0</v>
      </c>
      <c r="O12" s="81" t="s">
        <v>186</v>
      </c>
      <c r="P12" s="59" t="s">
        <v>25</v>
      </c>
      <c r="Q12" s="56"/>
      <c r="R12" s="60">
        <v>100</v>
      </c>
      <c r="S12" s="57">
        <f t="shared" si="0"/>
        <v>75</v>
      </c>
      <c r="T12" s="77">
        <f>ROUNDUP((R5*R12)+(R6*S12)+(R7*(R12*2)),2)</f>
        <v>0</v>
      </c>
    </row>
    <row r="13" spans="1:21" ht="18.75" customHeight="1" x14ac:dyDescent="0.15">
      <c r="A13" s="242"/>
      <c r="B13" s="81"/>
      <c r="C13" s="55" t="s">
        <v>33</v>
      </c>
      <c r="D13" s="56"/>
      <c r="E13" s="57">
        <v>10</v>
      </c>
      <c r="F13" s="58" t="s">
        <v>29</v>
      </c>
      <c r="G13" s="85"/>
      <c r="H13" s="89" t="s">
        <v>33</v>
      </c>
      <c r="I13" s="56"/>
      <c r="J13" s="58">
        <f>ROUNDUP(E13*0.75,2)</f>
        <v>7.5</v>
      </c>
      <c r="K13" s="58" t="s">
        <v>29</v>
      </c>
      <c r="L13" s="58"/>
      <c r="M13" s="58">
        <f>ROUNDUP((R5*E13)+(R6*J13)+(R7*(E13*2)),2)</f>
        <v>0</v>
      </c>
      <c r="N13" s="93">
        <f>ROUND(M13+(M13*10/100),2)</f>
        <v>0</v>
      </c>
      <c r="O13" s="81" t="s">
        <v>187</v>
      </c>
      <c r="P13" s="59" t="s">
        <v>34</v>
      </c>
      <c r="Q13" s="56"/>
      <c r="R13" s="60">
        <v>2</v>
      </c>
      <c r="S13" s="57">
        <f t="shared" si="0"/>
        <v>1.5</v>
      </c>
      <c r="T13" s="77">
        <f>ROUNDUP((R5*R13)+(R6*S13)+(R7*(R13*2)),2)</f>
        <v>0</v>
      </c>
    </row>
    <row r="14" spans="1:21" ht="18.75" customHeight="1" x14ac:dyDescent="0.15">
      <c r="A14" s="242"/>
      <c r="B14" s="81"/>
      <c r="C14" s="55" t="s">
        <v>146</v>
      </c>
      <c r="D14" s="56"/>
      <c r="E14" s="57">
        <v>10</v>
      </c>
      <c r="F14" s="58" t="s">
        <v>29</v>
      </c>
      <c r="G14" s="85"/>
      <c r="H14" s="89" t="s">
        <v>146</v>
      </c>
      <c r="I14" s="56"/>
      <c r="J14" s="58">
        <f>ROUNDUP(E14*0.75,2)</f>
        <v>7.5</v>
      </c>
      <c r="K14" s="58" t="s">
        <v>29</v>
      </c>
      <c r="L14" s="58"/>
      <c r="M14" s="58">
        <f>ROUNDUP((R5*E14)+(R6*J14)+(R7*(E14*2)),2)</f>
        <v>0</v>
      </c>
      <c r="N14" s="93">
        <f>ROUND(M14+(M14*15/100),2)</f>
        <v>0</v>
      </c>
      <c r="O14" s="81" t="s">
        <v>28</v>
      </c>
      <c r="P14" s="59" t="s">
        <v>41</v>
      </c>
      <c r="Q14" s="56"/>
      <c r="R14" s="60">
        <v>0.1</v>
      </c>
      <c r="S14" s="57">
        <f t="shared" si="0"/>
        <v>0.08</v>
      </c>
      <c r="T14" s="77">
        <f>ROUNDUP((R5*R14)+(R6*S14)+(R7*(R14*2)),2)</f>
        <v>0</v>
      </c>
    </row>
    <row r="15" spans="1:21" ht="18.75" customHeight="1" x14ac:dyDescent="0.15">
      <c r="A15" s="242"/>
      <c r="B15" s="81"/>
      <c r="C15" s="55"/>
      <c r="D15" s="56"/>
      <c r="E15" s="57"/>
      <c r="F15" s="58"/>
      <c r="G15" s="85"/>
      <c r="H15" s="89"/>
      <c r="I15" s="56"/>
      <c r="J15" s="58"/>
      <c r="K15" s="58"/>
      <c r="L15" s="58"/>
      <c r="M15" s="58"/>
      <c r="N15" s="93"/>
      <c r="O15" s="81"/>
      <c r="P15" s="59" t="s">
        <v>26</v>
      </c>
      <c r="Q15" s="56" t="s">
        <v>27</v>
      </c>
      <c r="R15" s="60">
        <v>2</v>
      </c>
      <c r="S15" s="57">
        <f t="shared" si="0"/>
        <v>1.5</v>
      </c>
      <c r="T15" s="77">
        <f>ROUNDUP((R5*R15)+(R6*S15)+(R7*(R15*2)),2)</f>
        <v>0</v>
      </c>
    </row>
    <row r="16" spans="1:21" ht="18.75" customHeight="1" x14ac:dyDescent="0.15">
      <c r="A16" s="242"/>
      <c r="B16" s="82"/>
      <c r="C16" s="61"/>
      <c r="D16" s="62"/>
      <c r="E16" s="63"/>
      <c r="F16" s="64"/>
      <c r="G16" s="86"/>
      <c r="H16" s="90"/>
      <c r="I16" s="62"/>
      <c r="J16" s="64"/>
      <c r="K16" s="64"/>
      <c r="L16" s="64"/>
      <c r="M16" s="64"/>
      <c r="N16" s="94"/>
      <c r="O16" s="82"/>
      <c r="P16" s="65"/>
      <c r="Q16" s="62"/>
      <c r="R16" s="66"/>
      <c r="S16" s="63"/>
      <c r="T16" s="78"/>
    </row>
    <row r="17" spans="1:20" ht="18.75" customHeight="1" x14ac:dyDescent="0.15">
      <c r="A17" s="242"/>
      <c r="B17" s="81" t="s">
        <v>277</v>
      </c>
      <c r="C17" s="55" t="s">
        <v>214</v>
      </c>
      <c r="D17" s="56"/>
      <c r="E17" s="99">
        <v>6.25E-2</v>
      </c>
      <c r="F17" s="58" t="s">
        <v>24</v>
      </c>
      <c r="G17" s="85"/>
      <c r="H17" s="89" t="s">
        <v>214</v>
      </c>
      <c r="I17" s="56"/>
      <c r="J17" s="58">
        <f>ROUNDUP(E17*0.75,2)</f>
        <v>0.05</v>
      </c>
      <c r="K17" s="58" t="s">
        <v>24</v>
      </c>
      <c r="L17" s="58"/>
      <c r="M17" s="58">
        <f>ROUNDUP((R5*E17)+(R6*J17)+(R7*(E17*2)),2)</f>
        <v>0</v>
      </c>
      <c r="N17" s="93">
        <f>M17</f>
        <v>0</v>
      </c>
      <c r="O17" s="81" t="s">
        <v>227</v>
      </c>
      <c r="P17" s="59" t="s">
        <v>49</v>
      </c>
      <c r="Q17" s="56" t="s">
        <v>27</v>
      </c>
      <c r="R17" s="60">
        <v>4</v>
      </c>
      <c r="S17" s="57">
        <f t="shared" ref="S17:S23" si="1">ROUNDUP(R17*0.75,2)</f>
        <v>3</v>
      </c>
      <c r="T17" s="77">
        <f>ROUNDUP((R5*R17)+(R6*S17)+(R7*(R17*2)),2)</f>
        <v>0</v>
      </c>
    </row>
    <row r="18" spans="1:20" ht="18.75" customHeight="1" x14ac:dyDescent="0.15">
      <c r="A18" s="242"/>
      <c r="B18" s="101" t="s">
        <v>278</v>
      </c>
      <c r="C18" s="55" t="s">
        <v>147</v>
      </c>
      <c r="D18" s="56"/>
      <c r="E18" s="57">
        <v>5</v>
      </c>
      <c r="F18" s="58" t="s">
        <v>29</v>
      </c>
      <c r="G18" s="85"/>
      <c r="H18" s="89" t="s">
        <v>147</v>
      </c>
      <c r="I18" s="56"/>
      <c r="J18" s="58">
        <f>ROUNDUP(E18*0.75,2)</f>
        <v>3.75</v>
      </c>
      <c r="K18" s="58" t="s">
        <v>29</v>
      </c>
      <c r="L18" s="58"/>
      <c r="M18" s="58">
        <f>ROUNDUP((R5*E18)+(R6*J18)+(R7*(E18*2)),2)</f>
        <v>0</v>
      </c>
      <c r="N18" s="93">
        <f>ROUND(M18+(M18*15/100),2)</f>
        <v>0</v>
      </c>
      <c r="O18" s="81" t="s">
        <v>228</v>
      </c>
      <c r="P18" s="59" t="s">
        <v>54</v>
      </c>
      <c r="Q18" s="56"/>
      <c r="R18" s="60">
        <v>4</v>
      </c>
      <c r="S18" s="57">
        <f t="shared" si="1"/>
        <v>3</v>
      </c>
      <c r="T18" s="77">
        <f>ROUNDUP((R5*R18)+(R6*S18)+(R7*(R18*2)),2)</f>
        <v>0</v>
      </c>
    </row>
    <row r="19" spans="1:20" ht="18.75" customHeight="1" x14ac:dyDescent="0.15">
      <c r="A19" s="242"/>
      <c r="B19" s="81"/>
      <c r="C19" s="55" t="s">
        <v>106</v>
      </c>
      <c r="D19" s="56"/>
      <c r="E19" s="57">
        <v>2</v>
      </c>
      <c r="F19" s="58" t="s">
        <v>29</v>
      </c>
      <c r="G19" s="85"/>
      <c r="H19" s="89" t="s">
        <v>106</v>
      </c>
      <c r="I19" s="56"/>
      <c r="J19" s="58">
        <f>ROUNDUP(E19*0.75,2)</f>
        <v>1.5</v>
      </c>
      <c r="K19" s="58" t="s">
        <v>29</v>
      </c>
      <c r="L19" s="58"/>
      <c r="M19" s="58">
        <f>ROUNDUP((R5*E19)+(R6*J19)+(R7*(E19*2)),2)</f>
        <v>0</v>
      </c>
      <c r="N19" s="93">
        <f>ROUND(M19+(M19*10/100),2)</f>
        <v>0</v>
      </c>
      <c r="O19" s="100" t="s">
        <v>275</v>
      </c>
      <c r="P19" s="59" t="s">
        <v>71</v>
      </c>
      <c r="Q19" s="56"/>
      <c r="R19" s="60">
        <v>1.5</v>
      </c>
      <c r="S19" s="57">
        <f t="shared" si="1"/>
        <v>1.1300000000000001</v>
      </c>
      <c r="T19" s="77">
        <f>ROUNDUP((R5*R19)+(R6*S19)+(R7*(R19*2)),2)</f>
        <v>0</v>
      </c>
    </row>
    <row r="20" spans="1:20" ht="18.75" customHeight="1" x14ac:dyDescent="0.15">
      <c r="A20" s="242"/>
      <c r="B20" s="81"/>
      <c r="C20" s="55"/>
      <c r="D20" s="56"/>
      <c r="E20" s="57"/>
      <c r="F20" s="58"/>
      <c r="G20" s="85"/>
      <c r="H20" s="89"/>
      <c r="I20" s="56"/>
      <c r="J20" s="58"/>
      <c r="K20" s="58"/>
      <c r="L20" s="58"/>
      <c r="M20" s="58"/>
      <c r="N20" s="93"/>
      <c r="O20" s="36" t="s">
        <v>276</v>
      </c>
      <c r="P20" s="59" t="s">
        <v>25</v>
      </c>
      <c r="Q20" s="56"/>
      <c r="R20" s="60">
        <v>20</v>
      </c>
      <c r="S20" s="57">
        <f t="shared" si="1"/>
        <v>15</v>
      </c>
      <c r="T20" s="77">
        <f>ROUNDUP((R5*R20)+(R6*S20)+(R7*(R20*2)),2)</f>
        <v>0</v>
      </c>
    </row>
    <row r="21" spans="1:20" ht="18.75" customHeight="1" x14ac:dyDescent="0.15">
      <c r="A21" s="242"/>
      <c r="B21" s="81"/>
      <c r="C21" s="55"/>
      <c r="D21" s="56"/>
      <c r="E21" s="57"/>
      <c r="F21" s="58"/>
      <c r="G21" s="85"/>
      <c r="H21" s="89"/>
      <c r="I21" s="56"/>
      <c r="J21" s="58"/>
      <c r="K21" s="58"/>
      <c r="L21" s="58"/>
      <c r="M21" s="58"/>
      <c r="N21" s="93"/>
      <c r="O21" s="81" t="s">
        <v>229</v>
      </c>
      <c r="P21" s="59" t="s">
        <v>34</v>
      </c>
      <c r="Q21" s="56"/>
      <c r="R21" s="60">
        <v>2</v>
      </c>
      <c r="S21" s="57">
        <f t="shared" si="1"/>
        <v>1.5</v>
      </c>
      <c r="T21" s="77">
        <f>ROUNDUP((R5*R21)+(R6*S21)+(R7*(R21*2)),2)</f>
        <v>0</v>
      </c>
    </row>
    <row r="22" spans="1:20" ht="18.75" customHeight="1" x14ac:dyDescent="0.15">
      <c r="A22" s="242"/>
      <c r="B22" s="81"/>
      <c r="C22" s="55"/>
      <c r="D22" s="56"/>
      <c r="E22" s="57"/>
      <c r="F22" s="58"/>
      <c r="G22" s="85"/>
      <c r="H22" s="89"/>
      <c r="I22" s="56"/>
      <c r="J22" s="58"/>
      <c r="K22" s="58"/>
      <c r="L22" s="58"/>
      <c r="M22" s="58"/>
      <c r="N22" s="93"/>
      <c r="O22" s="81" t="s">
        <v>66</v>
      </c>
      <c r="P22" s="59" t="s">
        <v>26</v>
      </c>
      <c r="Q22" s="56" t="s">
        <v>27</v>
      </c>
      <c r="R22" s="60">
        <v>1</v>
      </c>
      <c r="S22" s="57">
        <f t="shared" si="1"/>
        <v>0.75</v>
      </c>
      <c r="T22" s="77">
        <f>ROUNDUP((R5*R22)+(R6*S22)+(R7*(R22*2)),2)</f>
        <v>0</v>
      </c>
    </row>
    <row r="23" spans="1:20" ht="18.75" customHeight="1" x14ac:dyDescent="0.15">
      <c r="A23" s="242"/>
      <c r="B23" s="81"/>
      <c r="C23" s="55"/>
      <c r="D23" s="56"/>
      <c r="E23" s="57"/>
      <c r="F23" s="58"/>
      <c r="G23" s="85"/>
      <c r="H23" s="89"/>
      <c r="I23" s="56"/>
      <c r="J23" s="58"/>
      <c r="K23" s="58"/>
      <c r="L23" s="58"/>
      <c r="M23" s="58"/>
      <c r="N23" s="93"/>
      <c r="O23" s="81" t="s">
        <v>28</v>
      </c>
      <c r="P23" s="59" t="s">
        <v>31</v>
      </c>
      <c r="Q23" s="56"/>
      <c r="R23" s="60">
        <v>1</v>
      </c>
      <c r="S23" s="57">
        <f t="shared" si="1"/>
        <v>0.75</v>
      </c>
      <c r="T23" s="77">
        <f>ROUNDUP((R5*R23)+(R6*S23)+(R7*(R23*2)),2)</f>
        <v>0</v>
      </c>
    </row>
    <row r="24" spans="1:20" ht="18.75" customHeight="1" x14ac:dyDescent="0.15">
      <c r="A24" s="242"/>
      <c r="B24" s="82"/>
      <c r="C24" s="61"/>
      <c r="D24" s="62"/>
      <c r="E24" s="63"/>
      <c r="F24" s="64"/>
      <c r="G24" s="86"/>
      <c r="H24" s="90"/>
      <c r="I24" s="62"/>
      <c r="J24" s="64"/>
      <c r="K24" s="64"/>
      <c r="L24" s="64"/>
      <c r="M24" s="64"/>
      <c r="N24" s="94"/>
      <c r="O24" s="82"/>
      <c r="P24" s="65"/>
      <c r="Q24" s="62"/>
      <c r="R24" s="66"/>
      <c r="S24" s="63"/>
      <c r="T24" s="78"/>
    </row>
    <row r="25" spans="1:20" ht="18.75" customHeight="1" x14ac:dyDescent="0.15">
      <c r="A25" s="242"/>
      <c r="B25" s="81" t="s">
        <v>112</v>
      </c>
      <c r="C25" s="55" t="s">
        <v>113</v>
      </c>
      <c r="D25" s="56"/>
      <c r="E25" s="57">
        <v>25</v>
      </c>
      <c r="F25" s="58" t="s">
        <v>29</v>
      </c>
      <c r="G25" s="85"/>
      <c r="H25" s="89" t="s">
        <v>113</v>
      </c>
      <c r="I25" s="56"/>
      <c r="J25" s="58">
        <f>ROUNDUP(E25*0.75,2)</f>
        <v>18.75</v>
      </c>
      <c r="K25" s="58" t="s">
        <v>29</v>
      </c>
      <c r="L25" s="58"/>
      <c r="M25" s="58">
        <f>ROUNDUP((R5*E25)+(R6*J25)+(R7*(E25*2)),2)</f>
        <v>0</v>
      </c>
      <c r="N25" s="93">
        <f>M25</f>
        <v>0</v>
      </c>
      <c r="O25" s="81"/>
      <c r="P25" s="59"/>
      <c r="Q25" s="56"/>
      <c r="R25" s="60"/>
      <c r="S25" s="57"/>
      <c r="T25" s="77"/>
    </row>
    <row r="26" spans="1:20" ht="18.75" customHeight="1" thickBot="1" x14ac:dyDescent="0.2">
      <c r="A26" s="243"/>
      <c r="B26" s="83"/>
      <c r="C26" s="68"/>
      <c r="D26" s="69"/>
      <c r="E26" s="70"/>
      <c r="F26" s="71"/>
      <c r="G26" s="87"/>
      <c r="H26" s="91"/>
      <c r="I26" s="69"/>
      <c r="J26" s="71"/>
      <c r="K26" s="71"/>
      <c r="L26" s="71"/>
      <c r="M26" s="71"/>
      <c r="N26" s="95"/>
      <c r="O26" s="83"/>
      <c r="P26" s="72"/>
      <c r="Q26" s="69"/>
      <c r="R26" s="73"/>
      <c r="S26" s="70"/>
      <c r="T26" s="79"/>
    </row>
  </sheetData>
  <mergeCells count="5">
    <mergeCell ref="H1:O1"/>
    <mergeCell ref="A2:T2"/>
    <mergeCell ref="Q3:T3"/>
    <mergeCell ref="A8:F8"/>
    <mergeCell ref="A10:A26"/>
  </mergeCells>
  <phoneticPr fontId="19"/>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426</v>
      </c>
      <c r="B7" s="249"/>
      <c r="C7" s="249"/>
      <c r="D7" s="114"/>
      <c r="E7" s="250" t="s">
        <v>427</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428</v>
      </c>
      <c r="C11" s="126" t="s">
        <v>188</v>
      </c>
      <c r="D11" s="126"/>
      <c r="E11" s="49" t="s">
        <v>399</v>
      </c>
      <c r="F11" s="49"/>
      <c r="G11" s="126"/>
      <c r="H11" s="127">
        <v>20</v>
      </c>
      <c r="I11" s="126" t="s">
        <v>429</v>
      </c>
      <c r="J11" s="126" t="s">
        <v>188</v>
      </c>
      <c r="K11" s="127">
        <v>10</v>
      </c>
      <c r="L11" s="126" t="s">
        <v>401</v>
      </c>
      <c r="M11" s="126" t="s">
        <v>188</v>
      </c>
      <c r="N11" s="127">
        <v>10</v>
      </c>
      <c r="O11" s="128"/>
    </row>
    <row r="12" spans="1:21" ht="14.25" x14ac:dyDescent="0.15">
      <c r="A12" s="265"/>
      <c r="B12" s="132"/>
      <c r="C12" s="132" t="s">
        <v>69</v>
      </c>
      <c r="D12" s="132"/>
      <c r="E12" s="56"/>
      <c r="F12" s="56"/>
      <c r="G12" s="132"/>
      <c r="H12" s="135">
        <v>20</v>
      </c>
      <c r="I12" s="132"/>
      <c r="J12" s="136" t="s">
        <v>353</v>
      </c>
      <c r="K12" s="135">
        <v>15</v>
      </c>
      <c r="L12" s="129"/>
      <c r="M12" s="129"/>
      <c r="N12" s="130"/>
      <c r="O12" s="131"/>
    </row>
    <row r="13" spans="1:21" ht="14.25" x14ac:dyDescent="0.15">
      <c r="A13" s="265"/>
      <c r="B13" s="132"/>
      <c r="C13" s="132" t="s">
        <v>32</v>
      </c>
      <c r="D13" s="132"/>
      <c r="E13" s="56"/>
      <c r="F13" s="56"/>
      <c r="G13" s="132"/>
      <c r="H13" s="135">
        <v>20</v>
      </c>
      <c r="I13" s="132"/>
      <c r="J13" s="132" t="s">
        <v>32</v>
      </c>
      <c r="K13" s="135">
        <v>20</v>
      </c>
      <c r="L13" s="132" t="s">
        <v>430</v>
      </c>
      <c r="M13" s="132" t="s">
        <v>32</v>
      </c>
      <c r="N13" s="135">
        <v>10</v>
      </c>
      <c r="O13" s="134"/>
    </row>
    <row r="14" spans="1:21" ht="14.25" x14ac:dyDescent="0.15">
      <c r="A14" s="265"/>
      <c r="B14" s="132"/>
      <c r="C14" s="132" t="s">
        <v>147</v>
      </c>
      <c r="D14" s="132"/>
      <c r="E14" s="56"/>
      <c r="F14" s="56"/>
      <c r="G14" s="132"/>
      <c r="H14" s="135">
        <v>5</v>
      </c>
      <c r="I14" s="132"/>
      <c r="J14" s="132"/>
      <c r="K14" s="135"/>
      <c r="L14" s="129"/>
      <c r="M14" s="129"/>
      <c r="N14" s="130"/>
      <c r="O14" s="131"/>
    </row>
    <row r="15" spans="1:21" ht="14.25" x14ac:dyDescent="0.15">
      <c r="A15" s="265"/>
      <c r="B15" s="132"/>
      <c r="C15" s="132"/>
      <c r="D15" s="132"/>
      <c r="E15" s="56"/>
      <c r="F15" s="56"/>
      <c r="G15" s="132" t="s">
        <v>25</v>
      </c>
      <c r="H15" s="135" t="s">
        <v>354</v>
      </c>
      <c r="I15" s="132"/>
      <c r="J15" s="132"/>
      <c r="K15" s="135"/>
      <c r="L15" s="132" t="s">
        <v>431</v>
      </c>
      <c r="M15" s="132" t="s">
        <v>33</v>
      </c>
      <c r="N15" s="135">
        <v>10</v>
      </c>
      <c r="O15" s="134"/>
    </row>
    <row r="16" spans="1:21" ht="14.25" x14ac:dyDescent="0.15">
      <c r="A16" s="265"/>
      <c r="B16" s="132"/>
      <c r="C16" s="132"/>
      <c r="D16" s="132"/>
      <c r="E16" s="56"/>
      <c r="F16" s="56" t="s">
        <v>27</v>
      </c>
      <c r="G16" s="132" t="s">
        <v>26</v>
      </c>
      <c r="H16" s="135" t="s">
        <v>356</v>
      </c>
      <c r="I16" s="132"/>
      <c r="J16" s="132"/>
      <c r="K16" s="135"/>
      <c r="L16" s="132"/>
      <c r="M16" s="132" t="s">
        <v>146</v>
      </c>
      <c r="N16" s="135">
        <v>10</v>
      </c>
      <c r="O16" s="134"/>
    </row>
    <row r="17" spans="1:15" ht="14.25" x14ac:dyDescent="0.15">
      <c r="A17" s="265"/>
      <c r="B17" s="132"/>
      <c r="C17" s="132"/>
      <c r="D17" s="132"/>
      <c r="E17" s="56"/>
      <c r="F17" s="56"/>
      <c r="G17" s="132" t="s">
        <v>50</v>
      </c>
      <c r="H17" s="135" t="s">
        <v>356</v>
      </c>
      <c r="I17" s="129"/>
      <c r="J17" s="129"/>
      <c r="K17" s="130"/>
      <c r="L17" s="132"/>
      <c r="M17" s="132"/>
      <c r="N17" s="135"/>
      <c r="O17" s="134"/>
    </row>
    <row r="18" spans="1:15" ht="14.25" x14ac:dyDescent="0.15">
      <c r="A18" s="265"/>
      <c r="B18" s="129"/>
      <c r="C18" s="129"/>
      <c r="D18" s="129"/>
      <c r="E18" s="62"/>
      <c r="F18" s="62"/>
      <c r="G18" s="129"/>
      <c r="H18" s="130"/>
      <c r="I18" s="132" t="s">
        <v>432</v>
      </c>
      <c r="J18" s="132" t="s">
        <v>33</v>
      </c>
      <c r="K18" s="135">
        <v>10</v>
      </c>
      <c r="L18" s="132"/>
      <c r="M18" s="132"/>
      <c r="N18" s="135"/>
      <c r="O18" s="134"/>
    </row>
    <row r="19" spans="1:15" ht="14.25" x14ac:dyDescent="0.15">
      <c r="A19" s="265"/>
      <c r="B19" s="132" t="s">
        <v>432</v>
      </c>
      <c r="C19" s="132" t="s">
        <v>33</v>
      </c>
      <c r="D19" s="132"/>
      <c r="E19" s="56"/>
      <c r="F19" s="56"/>
      <c r="G19" s="132"/>
      <c r="H19" s="135">
        <v>10</v>
      </c>
      <c r="I19" s="132"/>
      <c r="J19" s="132" t="s">
        <v>146</v>
      </c>
      <c r="K19" s="135">
        <v>10</v>
      </c>
      <c r="L19" s="132"/>
      <c r="M19" s="132"/>
      <c r="N19" s="135"/>
      <c r="O19" s="134"/>
    </row>
    <row r="20" spans="1:15" ht="14.25" x14ac:dyDescent="0.15">
      <c r="A20" s="265"/>
      <c r="B20" s="132"/>
      <c r="C20" s="132" t="s">
        <v>146</v>
      </c>
      <c r="D20" s="132"/>
      <c r="E20" s="56"/>
      <c r="F20" s="56"/>
      <c r="G20" s="132"/>
      <c r="H20" s="135">
        <v>10</v>
      </c>
      <c r="I20" s="132"/>
      <c r="J20" s="132"/>
      <c r="K20" s="135"/>
      <c r="L20" s="132"/>
      <c r="M20" s="132"/>
      <c r="N20" s="135"/>
      <c r="O20" s="134"/>
    </row>
    <row r="21" spans="1:15" ht="14.25" x14ac:dyDescent="0.15">
      <c r="A21" s="265"/>
      <c r="B21" s="132"/>
      <c r="C21" s="132"/>
      <c r="D21" s="132"/>
      <c r="E21" s="56"/>
      <c r="F21" s="56"/>
      <c r="G21" s="132" t="s">
        <v>25</v>
      </c>
      <c r="H21" s="135" t="s">
        <v>356</v>
      </c>
      <c r="I21" s="132"/>
      <c r="J21" s="132"/>
      <c r="K21" s="135"/>
      <c r="L21" s="132"/>
      <c r="M21" s="132"/>
      <c r="N21" s="135"/>
      <c r="O21" s="134"/>
    </row>
    <row r="22" spans="1:15" ht="15" thickBot="1" x14ac:dyDescent="0.2">
      <c r="A22" s="266"/>
      <c r="B22" s="139"/>
      <c r="C22" s="139"/>
      <c r="D22" s="139"/>
      <c r="E22" s="69"/>
      <c r="F22" s="69"/>
      <c r="G22" s="139"/>
      <c r="H22" s="140"/>
      <c r="I22" s="139"/>
      <c r="J22" s="139"/>
      <c r="K22" s="140"/>
      <c r="L22" s="139"/>
      <c r="M22" s="139"/>
      <c r="N22" s="140"/>
      <c r="O22" s="141"/>
    </row>
    <row r="23" spans="1:15" ht="14.25" x14ac:dyDescent="0.15">
      <c r="B23" s="105"/>
      <c r="C23" s="105"/>
      <c r="D23" s="105"/>
      <c r="G23" s="105"/>
      <c r="H23" s="142"/>
      <c r="I23" s="105"/>
      <c r="J23" s="105"/>
      <c r="K23" s="142"/>
      <c r="L23" s="105"/>
      <c r="M23" s="105"/>
      <c r="N23" s="142"/>
    </row>
    <row r="24" spans="1:15" ht="14.25" x14ac:dyDescent="0.15">
      <c r="B24" s="105"/>
      <c r="C24" s="105"/>
      <c r="D24" s="105"/>
      <c r="G24" s="105"/>
      <c r="H24" s="142"/>
      <c r="I24" s="105"/>
      <c r="J24" s="105"/>
      <c r="K24" s="142"/>
      <c r="L24" s="105"/>
      <c r="M24" s="105"/>
      <c r="N24" s="142"/>
    </row>
    <row r="25" spans="1:15" ht="14.25" x14ac:dyDescent="0.15">
      <c r="B25" s="105"/>
      <c r="C25" s="105"/>
      <c r="D25" s="105"/>
      <c r="G25" s="105"/>
      <c r="H25" s="142"/>
      <c r="I25" s="105"/>
      <c r="J25" s="105"/>
      <c r="K25" s="142"/>
      <c r="L25" s="105"/>
      <c r="M25" s="105"/>
      <c r="N25" s="142"/>
    </row>
    <row r="26" spans="1:15" ht="14.25" x14ac:dyDescent="0.15">
      <c r="B26" s="105"/>
      <c r="C26" s="105"/>
      <c r="D26" s="105"/>
      <c r="G26" s="105"/>
      <c r="H26" s="142"/>
      <c r="I26" s="105"/>
      <c r="J26" s="105"/>
      <c r="K26" s="142"/>
      <c r="L26" s="105"/>
      <c r="M26" s="105"/>
      <c r="N26" s="142"/>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row r="57" spans="2:14" ht="14.25" x14ac:dyDescent="0.15">
      <c r="B57" s="105"/>
      <c r="C57" s="105"/>
      <c r="D57" s="105"/>
      <c r="G57" s="105"/>
      <c r="H57" s="142"/>
      <c r="I57" s="105"/>
      <c r="J57" s="105"/>
      <c r="K57" s="142"/>
      <c r="L57" s="105"/>
      <c r="M57" s="105"/>
      <c r="N57" s="142"/>
    </row>
    <row r="58" spans="2:14" ht="14.25" x14ac:dyDescent="0.15">
      <c r="B58" s="105"/>
      <c r="C58" s="105"/>
      <c r="D58" s="105"/>
      <c r="G58" s="105"/>
      <c r="H58" s="142"/>
      <c r="I58" s="105"/>
      <c r="J58" s="105"/>
      <c r="K58" s="142"/>
      <c r="L58" s="105"/>
      <c r="M58" s="105"/>
      <c r="N58" s="142"/>
    </row>
  </sheetData>
  <mergeCells count="15">
    <mergeCell ref="L8:N8"/>
    <mergeCell ref="O8:O10"/>
    <mergeCell ref="I9:K9"/>
    <mergeCell ref="L9:N9"/>
    <mergeCell ref="A11:A22"/>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230</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279</v>
      </c>
      <c r="C10" s="48" t="s">
        <v>145</v>
      </c>
      <c r="D10" s="49"/>
      <c r="E10" s="54">
        <v>10</v>
      </c>
      <c r="F10" s="51" t="s">
        <v>29</v>
      </c>
      <c r="G10" s="84"/>
      <c r="H10" s="88" t="s">
        <v>145</v>
      </c>
      <c r="I10" s="49"/>
      <c r="J10" s="51">
        <f>ROUNDUP(E10*0.75,2)</f>
        <v>7.5</v>
      </c>
      <c r="K10" s="51" t="s">
        <v>29</v>
      </c>
      <c r="L10" s="51"/>
      <c r="M10" s="51">
        <f>ROUNDUP((R5*E10)+(R6*J10)+(R7*(E10*2)),2)</f>
        <v>0</v>
      </c>
      <c r="N10" s="92">
        <f>M10</f>
        <v>0</v>
      </c>
      <c r="O10" s="80" t="s">
        <v>195</v>
      </c>
      <c r="P10" s="52" t="s">
        <v>23</v>
      </c>
      <c r="Q10" s="49"/>
      <c r="R10" s="53">
        <v>110</v>
      </c>
      <c r="S10" s="54">
        <f t="shared" ref="S10:S17" si="0">ROUNDUP(R10*0.75,2)</f>
        <v>82.5</v>
      </c>
      <c r="T10" s="76">
        <f>ROUNDUP((R5*R10)+(R6*S10)+(R7*(R10*2)),2)</f>
        <v>0</v>
      </c>
    </row>
    <row r="11" spans="1:21" ht="18.75" customHeight="1" x14ac:dyDescent="0.15">
      <c r="A11" s="242"/>
      <c r="B11" s="101" t="s">
        <v>280</v>
      </c>
      <c r="C11" s="55" t="s">
        <v>56</v>
      </c>
      <c r="D11" s="56"/>
      <c r="E11" s="57">
        <v>20</v>
      </c>
      <c r="F11" s="58" t="s">
        <v>29</v>
      </c>
      <c r="G11" s="85"/>
      <c r="H11" s="89" t="s">
        <v>56</v>
      </c>
      <c r="I11" s="56"/>
      <c r="J11" s="58">
        <f>ROUNDUP(E11*0.75,2)</f>
        <v>15</v>
      </c>
      <c r="K11" s="58" t="s">
        <v>29</v>
      </c>
      <c r="L11" s="58"/>
      <c r="M11" s="58">
        <f>ROUNDUP((R5*E11)+(R6*J11)+(R7*(E11*2)),2)</f>
        <v>0</v>
      </c>
      <c r="N11" s="93">
        <f>ROUND(M11+(M11*6/100),2)</f>
        <v>0</v>
      </c>
      <c r="O11" s="81" t="s">
        <v>196</v>
      </c>
      <c r="P11" s="59" t="s">
        <v>39</v>
      </c>
      <c r="Q11" s="56" t="s">
        <v>40</v>
      </c>
      <c r="R11" s="60">
        <v>2</v>
      </c>
      <c r="S11" s="57">
        <f t="shared" si="0"/>
        <v>1.5</v>
      </c>
      <c r="T11" s="77">
        <f>ROUNDUP((R5*R11)+(R6*S11)+(R7*(R11*2)),2)</f>
        <v>0</v>
      </c>
    </row>
    <row r="12" spans="1:21" ht="18.75" customHeight="1" x14ac:dyDescent="0.15">
      <c r="A12" s="242"/>
      <c r="B12" s="81"/>
      <c r="C12" s="55" t="s">
        <v>140</v>
      </c>
      <c r="D12" s="56"/>
      <c r="E12" s="57">
        <v>5</v>
      </c>
      <c r="F12" s="58" t="s">
        <v>29</v>
      </c>
      <c r="G12" s="85"/>
      <c r="H12" s="89" t="s">
        <v>140</v>
      </c>
      <c r="I12" s="56"/>
      <c r="J12" s="58">
        <f>ROUNDUP(E12*0.75,2)</f>
        <v>3.75</v>
      </c>
      <c r="K12" s="58" t="s">
        <v>29</v>
      </c>
      <c r="L12" s="58"/>
      <c r="M12" s="58">
        <f>ROUNDUP((R5*E12)+(R6*J12)+(R7*(E12*2)),2)</f>
        <v>0</v>
      </c>
      <c r="N12" s="93">
        <f>M12</f>
        <v>0</v>
      </c>
      <c r="O12" s="81" t="s">
        <v>197</v>
      </c>
      <c r="P12" s="59" t="s">
        <v>41</v>
      </c>
      <c r="Q12" s="56"/>
      <c r="R12" s="60">
        <v>0.1</v>
      </c>
      <c r="S12" s="57">
        <f t="shared" si="0"/>
        <v>0.08</v>
      </c>
      <c r="T12" s="77">
        <f>ROUNDUP((R5*R12)+(R6*S12)+(R7*(R12*2)),2)</f>
        <v>0</v>
      </c>
    </row>
    <row r="13" spans="1:21" ht="18.75" customHeight="1" x14ac:dyDescent="0.15">
      <c r="A13" s="242"/>
      <c r="B13" s="81"/>
      <c r="C13" s="55" t="s">
        <v>36</v>
      </c>
      <c r="D13" s="56" t="s">
        <v>37</v>
      </c>
      <c r="E13" s="57">
        <v>1</v>
      </c>
      <c r="F13" s="58" t="s">
        <v>38</v>
      </c>
      <c r="G13" s="85"/>
      <c r="H13" s="89" t="s">
        <v>36</v>
      </c>
      <c r="I13" s="56" t="s">
        <v>37</v>
      </c>
      <c r="J13" s="58">
        <f>ROUNDUP(E13*0.75,2)</f>
        <v>0.75</v>
      </c>
      <c r="K13" s="58" t="s">
        <v>38</v>
      </c>
      <c r="L13" s="58"/>
      <c r="M13" s="58">
        <f>ROUNDUP((R5*E13)+(R6*J13)+(R7*(E13*2)),2)</f>
        <v>0</v>
      </c>
      <c r="N13" s="93">
        <f>M13</f>
        <v>0</v>
      </c>
      <c r="O13" s="81" t="s">
        <v>198</v>
      </c>
      <c r="P13" s="59" t="s">
        <v>57</v>
      </c>
      <c r="Q13" s="56"/>
      <c r="R13" s="60">
        <v>8</v>
      </c>
      <c r="S13" s="57">
        <f t="shared" si="0"/>
        <v>6</v>
      </c>
      <c r="T13" s="77">
        <f>ROUNDUP((R5*R13)+(R6*S13)+(R7*(R13*2)),2)</f>
        <v>0</v>
      </c>
    </row>
    <row r="14" spans="1:21" ht="18.75" customHeight="1" x14ac:dyDescent="0.15">
      <c r="A14" s="242"/>
      <c r="B14" s="81"/>
      <c r="C14" s="55"/>
      <c r="D14" s="56"/>
      <c r="E14" s="57"/>
      <c r="F14" s="58"/>
      <c r="G14" s="85"/>
      <c r="H14" s="89"/>
      <c r="I14" s="56"/>
      <c r="J14" s="58"/>
      <c r="K14" s="58"/>
      <c r="L14" s="58"/>
      <c r="M14" s="58"/>
      <c r="N14" s="93"/>
      <c r="O14" s="81" t="s">
        <v>199</v>
      </c>
      <c r="P14" s="59" t="s">
        <v>41</v>
      </c>
      <c r="Q14" s="56"/>
      <c r="R14" s="60">
        <v>0.1</v>
      </c>
      <c r="S14" s="57">
        <f t="shared" si="0"/>
        <v>0.08</v>
      </c>
      <c r="T14" s="77">
        <f>ROUNDUP((R5*R14)+(R6*S14)+(R7*(R14*2)),2)</f>
        <v>0</v>
      </c>
    </row>
    <row r="15" spans="1:21" ht="18.75" customHeight="1" x14ac:dyDescent="0.15">
      <c r="A15" s="242"/>
      <c r="B15" s="81"/>
      <c r="C15" s="55"/>
      <c r="D15" s="56"/>
      <c r="E15" s="57"/>
      <c r="F15" s="58"/>
      <c r="G15" s="85"/>
      <c r="H15" s="89"/>
      <c r="I15" s="56"/>
      <c r="J15" s="58"/>
      <c r="K15" s="58"/>
      <c r="L15" s="58"/>
      <c r="M15" s="58"/>
      <c r="N15" s="93"/>
      <c r="O15" s="81" t="s">
        <v>200</v>
      </c>
      <c r="P15" s="59" t="s">
        <v>42</v>
      </c>
      <c r="Q15" s="56"/>
      <c r="R15" s="60">
        <v>0.01</v>
      </c>
      <c r="S15" s="57">
        <f t="shared" si="0"/>
        <v>0.01</v>
      </c>
      <c r="T15" s="77">
        <f>ROUNDUP((R5*R15)+(R6*S15)+(R7*(R15*2)),2)</f>
        <v>0</v>
      </c>
    </row>
    <row r="16" spans="1:21" ht="18.75" customHeight="1" x14ac:dyDescent="0.15">
      <c r="A16" s="242"/>
      <c r="B16" s="81"/>
      <c r="C16" s="55"/>
      <c r="D16" s="56"/>
      <c r="E16" s="57"/>
      <c r="F16" s="58"/>
      <c r="G16" s="85"/>
      <c r="H16" s="89"/>
      <c r="I16" s="56"/>
      <c r="J16" s="58"/>
      <c r="K16" s="58"/>
      <c r="L16" s="58"/>
      <c r="M16" s="58"/>
      <c r="N16" s="93"/>
      <c r="O16" s="81" t="s">
        <v>28</v>
      </c>
      <c r="P16" s="59" t="s">
        <v>54</v>
      </c>
      <c r="Q16" s="56"/>
      <c r="R16" s="60">
        <v>1</v>
      </c>
      <c r="S16" s="57">
        <f t="shared" si="0"/>
        <v>0.75</v>
      </c>
      <c r="T16" s="77">
        <f>ROUNDUP((R5*R16)+(R6*S16)+(R7*(R16*2)),2)</f>
        <v>0</v>
      </c>
    </row>
    <row r="17" spans="1:20" ht="18.75" customHeight="1" x14ac:dyDescent="0.15">
      <c r="A17" s="242"/>
      <c r="B17" s="81"/>
      <c r="C17" s="55"/>
      <c r="D17" s="56"/>
      <c r="E17" s="57"/>
      <c r="F17" s="58"/>
      <c r="G17" s="85"/>
      <c r="H17" s="89"/>
      <c r="I17" s="56"/>
      <c r="J17" s="58"/>
      <c r="K17" s="58"/>
      <c r="L17" s="58"/>
      <c r="M17" s="58"/>
      <c r="N17" s="93"/>
      <c r="O17" s="81"/>
      <c r="P17" s="59" t="s">
        <v>57</v>
      </c>
      <c r="Q17" s="56"/>
      <c r="R17" s="60">
        <v>3</v>
      </c>
      <c r="S17" s="57">
        <f t="shared" si="0"/>
        <v>2.25</v>
      </c>
      <c r="T17" s="77">
        <f>ROUNDUP((R5*R17)+(R6*S17)+(R7*(R17*2)),2)</f>
        <v>0</v>
      </c>
    </row>
    <row r="18" spans="1:20" ht="18.75" customHeight="1" x14ac:dyDescent="0.15">
      <c r="A18" s="242"/>
      <c r="B18" s="82"/>
      <c r="C18" s="61"/>
      <c r="D18" s="62"/>
      <c r="E18" s="63"/>
      <c r="F18" s="64"/>
      <c r="G18" s="86"/>
      <c r="H18" s="90"/>
      <c r="I18" s="62"/>
      <c r="J18" s="64"/>
      <c r="K18" s="64"/>
      <c r="L18" s="64"/>
      <c r="M18" s="64"/>
      <c r="N18" s="94"/>
      <c r="O18" s="82"/>
      <c r="P18" s="65"/>
      <c r="Q18" s="62"/>
      <c r="R18" s="66"/>
      <c r="S18" s="63"/>
      <c r="T18" s="78"/>
    </row>
    <row r="19" spans="1:20" ht="18.75" customHeight="1" x14ac:dyDescent="0.15">
      <c r="A19" s="242"/>
      <c r="B19" s="81" t="s">
        <v>201</v>
      </c>
      <c r="C19" s="55" t="s">
        <v>76</v>
      </c>
      <c r="D19" s="56"/>
      <c r="E19" s="57">
        <v>30</v>
      </c>
      <c r="F19" s="58" t="s">
        <v>29</v>
      </c>
      <c r="G19" s="85"/>
      <c r="H19" s="89" t="s">
        <v>76</v>
      </c>
      <c r="I19" s="56"/>
      <c r="J19" s="58">
        <f>ROUNDUP(E19*0.75,2)</f>
        <v>22.5</v>
      </c>
      <c r="K19" s="58" t="s">
        <v>29</v>
      </c>
      <c r="L19" s="58"/>
      <c r="M19" s="58">
        <f>ROUNDUP((R5*E19)+(R6*J19)+(R7*(E19*2)),2)</f>
        <v>0</v>
      </c>
      <c r="N19" s="93">
        <f>ROUND(M19+(M19*6/100),2)</f>
        <v>0</v>
      </c>
      <c r="O19" s="81" t="s">
        <v>193</v>
      </c>
      <c r="P19" s="59" t="s">
        <v>50</v>
      </c>
      <c r="Q19" s="56"/>
      <c r="R19" s="60">
        <v>1</v>
      </c>
      <c r="S19" s="57">
        <f>ROUNDUP(R19*0.75,2)</f>
        <v>0.75</v>
      </c>
      <c r="T19" s="77">
        <f>ROUNDUP((R5*R19)+(R6*S19)+(R7*(R19*2)),2)</f>
        <v>0</v>
      </c>
    </row>
    <row r="20" spans="1:20" ht="18.75" customHeight="1" x14ac:dyDescent="0.15">
      <c r="A20" s="242"/>
      <c r="B20" s="81"/>
      <c r="C20" s="55" t="s">
        <v>33</v>
      </c>
      <c r="D20" s="56"/>
      <c r="E20" s="57">
        <v>10</v>
      </c>
      <c r="F20" s="58" t="s">
        <v>29</v>
      </c>
      <c r="G20" s="85"/>
      <c r="H20" s="89" t="s">
        <v>33</v>
      </c>
      <c r="I20" s="56"/>
      <c r="J20" s="58">
        <f>ROUNDUP(E20*0.75,2)</f>
        <v>7.5</v>
      </c>
      <c r="K20" s="58" t="s">
        <v>29</v>
      </c>
      <c r="L20" s="58"/>
      <c r="M20" s="58">
        <f>ROUNDUP((R5*E20)+(R6*J20)+(R7*(E20*2)),2)</f>
        <v>0</v>
      </c>
      <c r="N20" s="93">
        <f>ROUND(M20+(M20*10/100),2)</f>
        <v>0</v>
      </c>
      <c r="O20" s="81" t="s">
        <v>202</v>
      </c>
      <c r="P20" s="59" t="s">
        <v>41</v>
      </c>
      <c r="Q20" s="56"/>
      <c r="R20" s="60">
        <v>0.1</v>
      </c>
      <c r="S20" s="57">
        <f>ROUNDUP(R20*0.75,2)</f>
        <v>0.08</v>
      </c>
      <c r="T20" s="77">
        <f>ROUNDUP((R5*R20)+(R6*S20)+(R7*(R20*2)),2)</f>
        <v>0</v>
      </c>
    </row>
    <row r="21" spans="1:20" ht="18.75" customHeight="1" x14ac:dyDescent="0.15">
      <c r="A21" s="242"/>
      <c r="B21" s="81"/>
      <c r="C21" s="55" t="s">
        <v>143</v>
      </c>
      <c r="D21" s="56"/>
      <c r="E21" s="57">
        <v>2</v>
      </c>
      <c r="F21" s="58" t="s">
        <v>29</v>
      </c>
      <c r="G21" s="85"/>
      <c r="H21" s="89" t="s">
        <v>143</v>
      </c>
      <c r="I21" s="56"/>
      <c r="J21" s="58">
        <f>ROUNDUP(E21*0.75,2)</f>
        <v>1.5</v>
      </c>
      <c r="K21" s="58" t="s">
        <v>29</v>
      </c>
      <c r="L21" s="58"/>
      <c r="M21" s="58">
        <f>ROUNDUP((R5*E21)+(R6*J21)+(R7*(E21*2)),2)</f>
        <v>0</v>
      </c>
      <c r="N21" s="93">
        <f>M21</f>
        <v>0</v>
      </c>
      <c r="O21" s="81" t="s">
        <v>28</v>
      </c>
      <c r="P21" s="59" t="s">
        <v>88</v>
      </c>
      <c r="Q21" s="56"/>
      <c r="R21" s="60">
        <v>2</v>
      </c>
      <c r="S21" s="57">
        <f>ROUNDUP(R21*0.75,2)</f>
        <v>1.5</v>
      </c>
      <c r="T21" s="77">
        <f>ROUNDUP((R5*R21)+(R6*S21)+(R7*(R21*2)),2)</f>
        <v>0</v>
      </c>
    </row>
    <row r="22" spans="1:20" ht="18.75" customHeight="1" x14ac:dyDescent="0.15">
      <c r="A22" s="242"/>
      <c r="B22" s="81"/>
      <c r="C22" s="55"/>
      <c r="D22" s="56"/>
      <c r="E22" s="57"/>
      <c r="F22" s="58"/>
      <c r="G22" s="85"/>
      <c r="H22" s="89"/>
      <c r="I22" s="56"/>
      <c r="J22" s="58"/>
      <c r="K22" s="58"/>
      <c r="L22" s="58"/>
      <c r="M22" s="58"/>
      <c r="N22" s="93"/>
      <c r="O22" s="81"/>
      <c r="P22" s="59" t="s">
        <v>54</v>
      </c>
      <c r="Q22" s="56"/>
      <c r="R22" s="60">
        <v>2</v>
      </c>
      <c r="S22" s="57">
        <f>ROUNDUP(R22*0.75,2)</f>
        <v>1.5</v>
      </c>
      <c r="T22" s="77">
        <f>ROUNDUP((R5*R22)+(R6*S22)+(R7*(R22*2)),2)</f>
        <v>0</v>
      </c>
    </row>
    <row r="23" spans="1:20" ht="18.75" customHeight="1" x14ac:dyDescent="0.15">
      <c r="A23" s="242"/>
      <c r="B23" s="82"/>
      <c r="C23" s="61"/>
      <c r="D23" s="62"/>
      <c r="E23" s="63"/>
      <c r="F23" s="64"/>
      <c r="G23" s="86"/>
      <c r="H23" s="90"/>
      <c r="I23" s="62"/>
      <c r="J23" s="64"/>
      <c r="K23" s="64"/>
      <c r="L23" s="64"/>
      <c r="M23" s="64"/>
      <c r="N23" s="94"/>
      <c r="O23" s="82"/>
      <c r="P23" s="65"/>
      <c r="Q23" s="62"/>
      <c r="R23" s="66"/>
      <c r="S23" s="63"/>
      <c r="T23" s="78"/>
    </row>
    <row r="24" spans="1:20" ht="18.75" customHeight="1" x14ac:dyDescent="0.15">
      <c r="A24" s="242"/>
      <c r="B24" s="81" t="s">
        <v>127</v>
      </c>
      <c r="C24" s="55" t="s">
        <v>89</v>
      </c>
      <c r="D24" s="56"/>
      <c r="E24" s="57">
        <v>10</v>
      </c>
      <c r="F24" s="58" t="s">
        <v>29</v>
      </c>
      <c r="G24" s="85"/>
      <c r="H24" s="89" t="s">
        <v>89</v>
      </c>
      <c r="I24" s="56"/>
      <c r="J24" s="58">
        <f>ROUNDUP(E24*0.75,2)</f>
        <v>7.5</v>
      </c>
      <c r="K24" s="58" t="s">
        <v>29</v>
      </c>
      <c r="L24" s="58"/>
      <c r="M24" s="58">
        <f>ROUNDUP((R5*E24)+(R6*J24)+(R7*(E24*2)),2)</f>
        <v>0</v>
      </c>
      <c r="N24" s="93">
        <f>ROUND(M24+(M24*15/100),2)</f>
        <v>0</v>
      </c>
      <c r="O24" s="81" t="s">
        <v>28</v>
      </c>
      <c r="P24" s="59" t="s">
        <v>55</v>
      </c>
      <c r="Q24" s="56"/>
      <c r="R24" s="60">
        <v>100</v>
      </c>
      <c r="S24" s="57">
        <f>ROUNDUP(R24*0.75,2)</f>
        <v>75</v>
      </c>
      <c r="T24" s="77">
        <f>ROUNDUP((R5*R24)+(R6*S24)+(R7*(R24*2)),2)</f>
        <v>0</v>
      </c>
    </row>
    <row r="25" spans="1:20" ht="18.75" customHeight="1" x14ac:dyDescent="0.15">
      <c r="A25" s="242"/>
      <c r="B25" s="81"/>
      <c r="C25" s="55" t="s">
        <v>162</v>
      </c>
      <c r="D25" s="56"/>
      <c r="E25" s="57">
        <v>5</v>
      </c>
      <c r="F25" s="58" t="s">
        <v>29</v>
      </c>
      <c r="G25" s="85"/>
      <c r="H25" s="89" t="s">
        <v>162</v>
      </c>
      <c r="I25" s="56"/>
      <c r="J25" s="58">
        <f>ROUNDUP(E25*0.75,2)</f>
        <v>3.75</v>
      </c>
      <c r="K25" s="58" t="s">
        <v>29</v>
      </c>
      <c r="L25" s="58"/>
      <c r="M25" s="58">
        <f>ROUNDUP((R5*E25)+(R6*J25)+(R7*(E25*2)),2)</f>
        <v>0</v>
      </c>
      <c r="N25" s="93">
        <f>ROUND(M25+(M25*15/100),2)</f>
        <v>0</v>
      </c>
      <c r="O25" s="81"/>
      <c r="P25" s="59" t="s">
        <v>41</v>
      </c>
      <c r="Q25" s="56"/>
      <c r="R25" s="60">
        <v>0.1</v>
      </c>
      <c r="S25" s="57">
        <f>ROUNDUP(R25*0.75,2)</f>
        <v>0.08</v>
      </c>
      <c r="T25" s="77">
        <f>ROUNDUP((R5*R25)+(R6*S25)+(R7*(R25*2)),2)</f>
        <v>0</v>
      </c>
    </row>
    <row r="26" spans="1:20" ht="18.75" customHeight="1" x14ac:dyDescent="0.15">
      <c r="A26" s="242"/>
      <c r="B26" s="81"/>
      <c r="C26" s="55"/>
      <c r="D26" s="56"/>
      <c r="E26" s="57"/>
      <c r="F26" s="58"/>
      <c r="G26" s="85"/>
      <c r="H26" s="89"/>
      <c r="I26" s="56"/>
      <c r="J26" s="58"/>
      <c r="K26" s="58"/>
      <c r="L26" s="58"/>
      <c r="M26" s="58"/>
      <c r="N26" s="93"/>
      <c r="O26" s="81"/>
      <c r="P26" s="59" t="s">
        <v>128</v>
      </c>
      <c r="Q26" s="56" t="s">
        <v>129</v>
      </c>
      <c r="R26" s="60">
        <v>0.5</v>
      </c>
      <c r="S26" s="57">
        <f>ROUNDUP(R26*0.75,2)</f>
        <v>0.38</v>
      </c>
      <c r="T26" s="77">
        <f>ROUNDUP((R5*R26)+(R6*S26)+(R7*(R26*2)),2)</f>
        <v>0</v>
      </c>
    </row>
    <row r="27" spans="1:20" ht="18.75" customHeight="1" x14ac:dyDescent="0.15">
      <c r="A27" s="242"/>
      <c r="B27" s="82"/>
      <c r="C27" s="61"/>
      <c r="D27" s="62"/>
      <c r="E27" s="63"/>
      <c r="F27" s="64"/>
      <c r="G27" s="86"/>
      <c r="H27" s="90"/>
      <c r="I27" s="62"/>
      <c r="J27" s="64"/>
      <c r="K27" s="64"/>
      <c r="L27" s="64"/>
      <c r="M27" s="64"/>
      <c r="N27" s="94"/>
      <c r="O27" s="82"/>
      <c r="P27" s="65"/>
      <c r="Q27" s="62"/>
      <c r="R27" s="66"/>
      <c r="S27" s="63"/>
      <c r="T27" s="78"/>
    </row>
    <row r="28" spans="1:20" ht="18.75" customHeight="1" x14ac:dyDescent="0.15">
      <c r="A28" s="242"/>
      <c r="B28" s="81" t="s">
        <v>82</v>
      </c>
      <c r="C28" s="55" t="s">
        <v>83</v>
      </c>
      <c r="D28" s="56"/>
      <c r="E28" s="98">
        <v>0.16666666666666666</v>
      </c>
      <c r="F28" s="58" t="s">
        <v>38</v>
      </c>
      <c r="G28" s="85"/>
      <c r="H28" s="89" t="s">
        <v>83</v>
      </c>
      <c r="I28" s="56"/>
      <c r="J28" s="58">
        <f>ROUNDUP(E28*0.75,2)</f>
        <v>0.13</v>
      </c>
      <c r="K28" s="58" t="s">
        <v>38</v>
      </c>
      <c r="L28" s="58"/>
      <c r="M28" s="58">
        <f>ROUNDUP((R5*E28)+(R6*J28)+(R7*(E28*2)),2)</f>
        <v>0</v>
      </c>
      <c r="N28" s="93">
        <f>M28</f>
        <v>0</v>
      </c>
      <c r="O28" s="81" t="s">
        <v>61</v>
      </c>
      <c r="P28" s="59"/>
      <c r="Q28" s="56"/>
      <c r="R28" s="60"/>
      <c r="S28" s="57"/>
      <c r="T28" s="77"/>
    </row>
    <row r="29" spans="1:20" ht="18.75" customHeight="1" thickBot="1" x14ac:dyDescent="0.2">
      <c r="A29" s="243"/>
      <c r="B29" s="83"/>
      <c r="C29" s="68"/>
      <c r="D29" s="69"/>
      <c r="E29" s="70"/>
      <c r="F29" s="71"/>
      <c r="G29" s="87"/>
      <c r="H29" s="91"/>
      <c r="I29" s="69"/>
      <c r="J29" s="71"/>
      <c r="K29" s="71"/>
      <c r="L29" s="71"/>
      <c r="M29" s="71"/>
      <c r="N29" s="95"/>
      <c r="O29" s="83"/>
      <c r="P29" s="72"/>
      <c r="Q29" s="69"/>
      <c r="R29" s="73"/>
      <c r="S29" s="70"/>
      <c r="T29" s="79"/>
    </row>
  </sheetData>
  <mergeCells count="5">
    <mergeCell ref="H1:O1"/>
    <mergeCell ref="A2:T2"/>
    <mergeCell ref="Q3:T3"/>
    <mergeCell ref="A8:F8"/>
    <mergeCell ref="A10:A29"/>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433</v>
      </c>
      <c r="B7" s="249"/>
      <c r="C7" s="249"/>
      <c r="D7" s="114"/>
      <c r="E7" s="250" t="s">
        <v>434</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404</v>
      </c>
      <c r="C13" s="132" t="s">
        <v>145</v>
      </c>
      <c r="D13" s="132"/>
      <c r="E13" s="56"/>
      <c r="F13" s="56"/>
      <c r="G13" s="132"/>
      <c r="H13" s="135">
        <v>10</v>
      </c>
      <c r="I13" s="132" t="s">
        <v>404</v>
      </c>
      <c r="J13" s="136" t="s">
        <v>353</v>
      </c>
      <c r="K13" s="135">
        <v>5</v>
      </c>
      <c r="L13" s="132" t="s">
        <v>405</v>
      </c>
      <c r="M13" s="132" t="s">
        <v>56</v>
      </c>
      <c r="N13" s="135">
        <v>10</v>
      </c>
      <c r="O13" s="134"/>
    </row>
    <row r="14" spans="1:21" ht="14.25" x14ac:dyDescent="0.15">
      <c r="A14" s="265"/>
      <c r="B14" s="132"/>
      <c r="C14" s="132" t="s">
        <v>56</v>
      </c>
      <c r="D14" s="132"/>
      <c r="E14" s="56"/>
      <c r="F14" s="56"/>
      <c r="G14" s="132"/>
      <c r="H14" s="135">
        <v>20</v>
      </c>
      <c r="I14" s="132"/>
      <c r="J14" s="132" t="s">
        <v>56</v>
      </c>
      <c r="K14" s="135">
        <v>10</v>
      </c>
      <c r="L14" s="132"/>
      <c r="M14" s="132" t="s">
        <v>89</v>
      </c>
      <c r="N14" s="135">
        <v>5</v>
      </c>
      <c r="O14" s="134"/>
    </row>
    <row r="15" spans="1:21" ht="14.25" x14ac:dyDescent="0.15">
      <c r="A15" s="265"/>
      <c r="B15" s="132"/>
      <c r="C15" s="132" t="s">
        <v>36</v>
      </c>
      <c r="D15" s="132"/>
      <c r="E15" s="56" t="s">
        <v>37</v>
      </c>
      <c r="F15" s="56"/>
      <c r="G15" s="132"/>
      <c r="H15" s="138">
        <v>0.13</v>
      </c>
      <c r="I15" s="132"/>
      <c r="J15" s="132" t="s">
        <v>375</v>
      </c>
      <c r="K15" s="138">
        <v>0.13</v>
      </c>
      <c r="L15" s="129"/>
      <c r="M15" s="129"/>
      <c r="N15" s="130"/>
      <c r="O15" s="131"/>
    </row>
    <row r="16" spans="1:21" ht="14.25" x14ac:dyDescent="0.15">
      <c r="A16" s="265"/>
      <c r="B16" s="132"/>
      <c r="C16" s="132"/>
      <c r="D16" s="132"/>
      <c r="E16" s="56"/>
      <c r="F16" s="56"/>
      <c r="G16" s="132" t="s">
        <v>25</v>
      </c>
      <c r="H16" s="135" t="s">
        <v>354</v>
      </c>
      <c r="I16" s="132"/>
      <c r="J16" s="132"/>
      <c r="K16" s="135"/>
      <c r="L16" s="132" t="s">
        <v>406</v>
      </c>
      <c r="M16" s="132" t="s">
        <v>76</v>
      </c>
      <c r="N16" s="135">
        <v>10</v>
      </c>
      <c r="O16" s="134"/>
    </row>
    <row r="17" spans="1:15" ht="14.25" x14ac:dyDescent="0.15">
      <c r="A17" s="265"/>
      <c r="B17" s="132"/>
      <c r="C17" s="132"/>
      <c r="D17" s="132"/>
      <c r="E17" s="56"/>
      <c r="F17" s="56"/>
      <c r="G17" s="132" t="s">
        <v>50</v>
      </c>
      <c r="H17" s="135" t="s">
        <v>356</v>
      </c>
      <c r="I17" s="132"/>
      <c r="J17" s="132"/>
      <c r="K17" s="135"/>
      <c r="L17" s="132"/>
      <c r="M17" s="132" t="s">
        <v>33</v>
      </c>
      <c r="N17" s="135">
        <v>5</v>
      </c>
      <c r="O17" s="134"/>
    </row>
    <row r="18" spans="1:15" ht="14.25" x14ac:dyDescent="0.15">
      <c r="A18" s="265"/>
      <c r="B18" s="132"/>
      <c r="C18" s="132"/>
      <c r="D18" s="132"/>
      <c r="E18" s="56"/>
      <c r="F18" s="56" t="s">
        <v>27</v>
      </c>
      <c r="G18" s="132" t="s">
        <v>26</v>
      </c>
      <c r="H18" s="135" t="s">
        <v>356</v>
      </c>
      <c r="I18" s="132"/>
      <c r="J18" s="132"/>
      <c r="K18" s="135"/>
      <c r="L18" s="129"/>
      <c r="M18" s="129"/>
      <c r="N18" s="130"/>
      <c r="O18" s="131"/>
    </row>
    <row r="19" spans="1:15" ht="14.25" x14ac:dyDescent="0.15">
      <c r="A19" s="265"/>
      <c r="B19" s="129"/>
      <c r="C19" s="129"/>
      <c r="D19" s="129"/>
      <c r="E19" s="62"/>
      <c r="F19" s="62"/>
      <c r="G19" s="129"/>
      <c r="H19" s="130"/>
      <c r="I19" s="129"/>
      <c r="J19" s="129"/>
      <c r="K19" s="130"/>
      <c r="L19" s="132" t="s">
        <v>82</v>
      </c>
      <c r="M19" s="132" t="s">
        <v>83</v>
      </c>
      <c r="N19" s="133">
        <v>0.1</v>
      </c>
      <c r="O19" s="134"/>
    </row>
    <row r="20" spans="1:15" ht="14.25" x14ac:dyDescent="0.15">
      <c r="A20" s="265"/>
      <c r="B20" s="132" t="s">
        <v>407</v>
      </c>
      <c r="C20" s="132" t="s">
        <v>76</v>
      </c>
      <c r="D20" s="132"/>
      <c r="E20" s="56"/>
      <c r="F20" s="56"/>
      <c r="G20" s="132"/>
      <c r="H20" s="135">
        <v>20</v>
      </c>
      <c r="I20" s="132" t="s">
        <v>407</v>
      </c>
      <c r="J20" s="132" t="s">
        <v>76</v>
      </c>
      <c r="K20" s="135">
        <v>20</v>
      </c>
      <c r="L20" s="132"/>
      <c r="M20" s="132"/>
      <c r="N20" s="135"/>
      <c r="O20" s="134"/>
    </row>
    <row r="21" spans="1:15" ht="14.25" x14ac:dyDescent="0.15">
      <c r="A21" s="265"/>
      <c r="B21" s="132"/>
      <c r="C21" s="132" t="s">
        <v>33</v>
      </c>
      <c r="D21" s="132"/>
      <c r="E21" s="56"/>
      <c r="F21" s="56"/>
      <c r="G21" s="132"/>
      <c r="H21" s="135">
        <v>5</v>
      </c>
      <c r="I21" s="132"/>
      <c r="J21" s="132" t="s">
        <v>33</v>
      </c>
      <c r="K21" s="135">
        <v>5</v>
      </c>
      <c r="L21" s="132"/>
      <c r="M21" s="132"/>
      <c r="N21" s="135"/>
      <c r="O21" s="134"/>
    </row>
    <row r="22" spans="1:15" ht="14.25" x14ac:dyDescent="0.15">
      <c r="A22" s="265"/>
      <c r="B22" s="129"/>
      <c r="C22" s="129"/>
      <c r="D22" s="129"/>
      <c r="E22" s="62"/>
      <c r="F22" s="62"/>
      <c r="G22" s="129"/>
      <c r="H22" s="130"/>
      <c r="I22" s="129"/>
      <c r="J22" s="129"/>
      <c r="K22" s="130"/>
      <c r="L22" s="132"/>
      <c r="M22" s="132"/>
      <c r="N22" s="135"/>
      <c r="O22" s="134"/>
    </row>
    <row r="23" spans="1:15" ht="14.25" x14ac:dyDescent="0.15">
      <c r="A23" s="265"/>
      <c r="B23" s="132" t="s">
        <v>127</v>
      </c>
      <c r="C23" s="132" t="s">
        <v>89</v>
      </c>
      <c r="D23" s="132"/>
      <c r="E23" s="56"/>
      <c r="F23" s="137"/>
      <c r="G23" s="132"/>
      <c r="H23" s="135">
        <v>10</v>
      </c>
      <c r="I23" s="132" t="s">
        <v>127</v>
      </c>
      <c r="J23" s="132" t="s">
        <v>89</v>
      </c>
      <c r="K23" s="135">
        <v>10</v>
      </c>
      <c r="L23" s="132"/>
      <c r="M23" s="132"/>
      <c r="N23" s="135"/>
      <c r="O23" s="134"/>
    </row>
    <row r="24" spans="1:15" ht="14.25" x14ac:dyDescent="0.15">
      <c r="A24" s="265"/>
      <c r="B24" s="132"/>
      <c r="C24" s="132"/>
      <c r="D24" s="132"/>
      <c r="E24" s="56"/>
      <c r="F24" s="56"/>
      <c r="G24" s="132" t="s">
        <v>55</v>
      </c>
      <c r="H24" s="135" t="s">
        <v>354</v>
      </c>
      <c r="I24" s="132"/>
      <c r="J24" s="132"/>
      <c r="K24" s="135"/>
      <c r="L24" s="132"/>
      <c r="M24" s="132"/>
      <c r="N24" s="135"/>
      <c r="O24" s="134"/>
    </row>
    <row r="25" spans="1:15" ht="14.25" x14ac:dyDescent="0.15">
      <c r="A25" s="265"/>
      <c r="B25" s="129"/>
      <c r="C25" s="129"/>
      <c r="D25" s="129"/>
      <c r="E25" s="62"/>
      <c r="F25" s="62"/>
      <c r="G25" s="129"/>
      <c r="H25" s="130"/>
      <c r="I25" s="129"/>
      <c r="J25" s="129"/>
      <c r="K25" s="130"/>
      <c r="L25" s="132"/>
      <c r="M25" s="132"/>
      <c r="N25" s="135"/>
      <c r="O25" s="134"/>
    </row>
    <row r="26" spans="1:15" ht="14.25" x14ac:dyDescent="0.15">
      <c r="A26" s="265"/>
      <c r="B26" s="132" t="s">
        <v>82</v>
      </c>
      <c r="C26" s="132" t="s">
        <v>83</v>
      </c>
      <c r="D26" s="132"/>
      <c r="E26" s="56"/>
      <c r="F26" s="56"/>
      <c r="G26" s="132"/>
      <c r="H26" s="138">
        <v>0.13</v>
      </c>
      <c r="I26" s="132" t="s">
        <v>82</v>
      </c>
      <c r="J26" s="132" t="s">
        <v>83</v>
      </c>
      <c r="K26" s="138">
        <v>0.13</v>
      </c>
      <c r="L26" s="132"/>
      <c r="M26" s="132"/>
      <c r="N26" s="135"/>
      <c r="O26" s="134"/>
    </row>
    <row r="27" spans="1:15" ht="15" thickBot="1" x14ac:dyDescent="0.2">
      <c r="A27" s="266"/>
      <c r="B27" s="139"/>
      <c r="C27" s="139"/>
      <c r="D27" s="139"/>
      <c r="E27" s="69"/>
      <c r="F27" s="69"/>
      <c r="G27" s="139"/>
      <c r="H27" s="140"/>
      <c r="I27" s="139"/>
      <c r="J27" s="139"/>
      <c r="K27" s="140"/>
      <c r="L27" s="139"/>
      <c r="M27" s="139"/>
      <c r="N27" s="140"/>
      <c r="O27" s="141"/>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row r="57" spans="2:14" ht="14.25" x14ac:dyDescent="0.15">
      <c r="B57" s="105"/>
      <c r="C57" s="105"/>
      <c r="D57" s="105"/>
      <c r="G57" s="105"/>
      <c r="H57" s="142"/>
      <c r="I57" s="105"/>
      <c r="J57" s="105"/>
      <c r="K57" s="142"/>
      <c r="L57" s="105"/>
      <c r="M57" s="105"/>
      <c r="N57" s="142"/>
    </row>
    <row r="58" spans="2:14" ht="14.25" x14ac:dyDescent="0.15">
      <c r="B58" s="105"/>
      <c r="C58" s="105"/>
      <c r="D58" s="105"/>
      <c r="G58" s="105"/>
      <c r="H58" s="142"/>
      <c r="I58" s="105"/>
      <c r="J58" s="105"/>
      <c r="K58" s="142"/>
      <c r="L58" s="105"/>
      <c r="M58" s="105"/>
      <c r="N58" s="142"/>
    </row>
    <row r="59" spans="2:14" ht="14.25" x14ac:dyDescent="0.15">
      <c r="B59" s="105"/>
      <c r="C59" s="105"/>
      <c r="D59" s="105"/>
      <c r="G59" s="105"/>
      <c r="H59" s="142"/>
      <c r="I59" s="105"/>
      <c r="J59" s="105"/>
      <c r="K59" s="142"/>
      <c r="L59" s="105"/>
      <c r="M59" s="105"/>
      <c r="N59" s="142"/>
    </row>
    <row r="60" spans="2:14" ht="14.25" x14ac:dyDescent="0.15">
      <c r="B60" s="105"/>
      <c r="C60" s="105"/>
      <c r="D60" s="105"/>
      <c r="G60" s="105"/>
      <c r="H60" s="142"/>
      <c r="I60" s="105"/>
      <c r="J60" s="105"/>
      <c r="K60" s="142"/>
      <c r="L60" s="105"/>
      <c r="M60" s="105"/>
      <c r="N60" s="142"/>
    </row>
    <row r="61" spans="2:14" ht="14.25" x14ac:dyDescent="0.15">
      <c r="B61" s="105"/>
      <c r="C61" s="105"/>
      <c r="D61" s="105"/>
      <c r="G61" s="105"/>
      <c r="H61" s="142"/>
      <c r="I61" s="105"/>
      <c r="J61" s="105"/>
      <c r="K61" s="142"/>
      <c r="L61" s="105"/>
      <c r="M61" s="105"/>
      <c r="N61" s="142"/>
    </row>
  </sheetData>
  <mergeCells count="15">
    <mergeCell ref="L8:N8"/>
    <mergeCell ref="O8:O10"/>
    <mergeCell ref="I9:K9"/>
    <mergeCell ref="L9:N9"/>
    <mergeCell ref="A11:A27"/>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282" t="s">
        <v>287</v>
      </c>
      <c r="C5" s="282"/>
      <c r="D5" s="3"/>
      <c r="E5" s="6"/>
      <c r="F5" s="2"/>
      <c r="G5" s="2"/>
      <c r="H5" s="2"/>
      <c r="I5" s="3"/>
      <c r="J5" s="2"/>
      <c r="K5" s="7"/>
      <c r="L5" s="7"/>
      <c r="M5" s="7"/>
      <c r="N5" s="9"/>
      <c r="O5" s="2"/>
      <c r="P5" s="14"/>
      <c r="Q5" s="45" t="s">
        <v>6</v>
      </c>
      <c r="R5" s="46"/>
      <c r="S5" s="47"/>
      <c r="T5" s="47"/>
      <c r="U5" s="3"/>
    </row>
    <row r="6" spans="1:21" ht="22.5" customHeight="1" x14ac:dyDescent="0.15">
      <c r="A6" s="5"/>
      <c r="B6" s="282"/>
      <c r="C6" s="28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231</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232</v>
      </c>
      <c r="C10" s="48" t="s">
        <v>165</v>
      </c>
      <c r="D10" s="49"/>
      <c r="E10" s="54">
        <v>5</v>
      </c>
      <c r="F10" s="51" t="s">
        <v>29</v>
      </c>
      <c r="G10" s="84"/>
      <c r="H10" s="88" t="s">
        <v>165</v>
      </c>
      <c r="I10" s="49"/>
      <c r="J10" s="51">
        <f>ROUNDUP(E10*0.75,2)</f>
        <v>3.75</v>
      </c>
      <c r="K10" s="51" t="s">
        <v>29</v>
      </c>
      <c r="L10" s="51"/>
      <c r="M10" s="51">
        <f>ROUNDUP((R5*E10)+(R6*J10)+(R7*(E10*2)),2)</f>
        <v>0</v>
      </c>
      <c r="N10" s="92">
        <f>ROUND(M10+(M10*10/100),2)</f>
        <v>0</v>
      </c>
      <c r="O10" s="80" t="s">
        <v>233</v>
      </c>
      <c r="P10" s="52" t="s">
        <v>23</v>
      </c>
      <c r="Q10" s="49"/>
      <c r="R10" s="53">
        <v>110</v>
      </c>
      <c r="S10" s="54">
        <f t="shared" ref="S10:S15" si="0">ROUNDUP(R10*0.75,2)</f>
        <v>82.5</v>
      </c>
      <c r="T10" s="76">
        <f>ROUNDUP((R5*R10)+(R6*S10)+(R7*(R10*2)),2)</f>
        <v>0</v>
      </c>
    </row>
    <row r="11" spans="1:21" ht="18.75" customHeight="1" x14ac:dyDescent="0.15">
      <c r="A11" s="242"/>
      <c r="B11" s="81"/>
      <c r="C11" s="55" t="s">
        <v>45</v>
      </c>
      <c r="D11" s="56"/>
      <c r="E11" s="57">
        <v>5</v>
      </c>
      <c r="F11" s="58" t="s">
        <v>29</v>
      </c>
      <c r="G11" s="85"/>
      <c r="H11" s="89" t="s">
        <v>45</v>
      </c>
      <c r="I11" s="56"/>
      <c r="J11" s="58">
        <f>ROUNDUP(E11*0.75,2)</f>
        <v>3.75</v>
      </c>
      <c r="K11" s="58" t="s">
        <v>29</v>
      </c>
      <c r="L11" s="58"/>
      <c r="M11" s="58">
        <f>ROUNDUP((R5*E11)+(R6*J11)+(R7*(E11*2)),2)</f>
        <v>0</v>
      </c>
      <c r="N11" s="93">
        <f>M11</f>
        <v>0</v>
      </c>
      <c r="O11" s="100" t="s">
        <v>291</v>
      </c>
      <c r="P11" s="59" t="s">
        <v>25</v>
      </c>
      <c r="Q11" s="56"/>
      <c r="R11" s="60">
        <v>15</v>
      </c>
      <c r="S11" s="57">
        <f t="shared" si="0"/>
        <v>11.25</v>
      </c>
      <c r="T11" s="77">
        <f>ROUNDUP((R5*R11)+(R6*S11)+(R7*(R11*2)),2)</f>
        <v>0</v>
      </c>
    </row>
    <row r="12" spans="1:21" ht="18.75" customHeight="1" x14ac:dyDescent="0.15">
      <c r="A12" s="242"/>
      <c r="B12" s="81"/>
      <c r="C12" s="55" t="s">
        <v>163</v>
      </c>
      <c r="D12" s="56"/>
      <c r="E12" s="57">
        <v>5</v>
      </c>
      <c r="F12" s="58" t="s">
        <v>29</v>
      </c>
      <c r="G12" s="85"/>
      <c r="H12" s="89" t="s">
        <v>163</v>
      </c>
      <c r="I12" s="56"/>
      <c r="J12" s="58">
        <f>ROUNDUP(E12*0.75,2)</f>
        <v>3.75</v>
      </c>
      <c r="K12" s="58" t="s">
        <v>29</v>
      </c>
      <c r="L12" s="58"/>
      <c r="M12" s="58">
        <f>ROUNDUP((R5*E12)+(R6*J12)+(R7*(E12*2)),2)</f>
        <v>0</v>
      </c>
      <c r="N12" s="93">
        <f>M12</f>
        <v>0</v>
      </c>
      <c r="O12" s="36" t="s">
        <v>292</v>
      </c>
      <c r="P12" s="59" t="s">
        <v>50</v>
      </c>
      <c r="Q12" s="56"/>
      <c r="R12" s="60">
        <v>0.5</v>
      </c>
      <c r="S12" s="57">
        <f t="shared" si="0"/>
        <v>0.38</v>
      </c>
      <c r="T12" s="77">
        <f>ROUNDUP((R5*R12)+(R6*S12)+(R7*(R12*2)),2)</f>
        <v>0</v>
      </c>
    </row>
    <row r="13" spans="1:21" ht="18.75" customHeight="1" x14ac:dyDescent="0.15">
      <c r="A13" s="242"/>
      <c r="B13" s="81"/>
      <c r="C13" s="55" t="s">
        <v>235</v>
      </c>
      <c r="D13" s="56" t="s">
        <v>27</v>
      </c>
      <c r="E13" s="97">
        <v>0.1</v>
      </c>
      <c r="F13" s="58" t="s">
        <v>24</v>
      </c>
      <c r="G13" s="85"/>
      <c r="H13" s="89" t="s">
        <v>235</v>
      </c>
      <c r="I13" s="56" t="s">
        <v>27</v>
      </c>
      <c r="J13" s="58">
        <f>ROUNDUP(E13*0.75,2)</f>
        <v>0.08</v>
      </c>
      <c r="K13" s="58" t="s">
        <v>24</v>
      </c>
      <c r="L13" s="58"/>
      <c r="M13" s="58">
        <f>ROUNDUP((R5*E13)+(R6*J13)+(R7*(E13*2)),2)</f>
        <v>0</v>
      </c>
      <c r="N13" s="93">
        <f>M13</f>
        <v>0</v>
      </c>
      <c r="O13" s="100" t="s">
        <v>289</v>
      </c>
      <c r="P13" s="59" t="s">
        <v>30</v>
      </c>
      <c r="Q13" s="56"/>
      <c r="R13" s="60">
        <v>1</v>
      </c>
      <c r="S13" s="57">
        <f t="shared" si="0"/>
        <v>0.75</v>
      </c>
      <c r="T13" s="77">
        <f>ROUNDUP((R5*R13)+(R6*S13)+(R7*(R13*2)),2)</f>
        <v>0</v>
      </c>
    </row>
    <row r="14" spans="1:21" ht="18.75" customHeight="1" x14ac:dyDescent="0.15">
      <c r="A14" s="242"/>
      <c r="B14" s="81"/>
      <c r="C14" s="55" t="s">
        <v>131</v>
      </c>
      <c r="D14" s="56" t="s">
        <v>132</v>
      </c>
      <c r="E14" s="57">
        <v>0.5</v>
      </c>
      <c r="F14" s="58" t="s">
        <v>29</v>
      </c>
      <c r="G14" s="85"/>
      <c r="H14" s="89" t="s">
        <v>131</v>
      </c>
      <c r="I14" s="56" t="s">
        <v>132</v>
      </c>
      <c r="J14" s="58">
        <f>ROUNDUP(E14*0.75,2)</f>
        <v>0.38</v>
      </c>
      <c r="K14" s="58" t="s">
        <v>29</v>
      </c>
      <c r="L14" s="58"/>
      <c r="M14" s="58">
        <f>ROUNDUP((R5*E14)+(R6*J14)+(R7*(E14*2)),2)</f>
        <v>0</v>
      </c>
      <c r="N14" s="93">
        <f>M14</f>
        <v>0</v>
      </c>
      <c r="O14" s="36" t="s">
        <v>290</v>
      </c>
      <c r="P14" s="59" t="s">
        <v>26</v>
      </c>
      <c r="Q14" s="56" t="s">
        <v>27</v>
      </c>
      <c r="R14" s="60">
        <v>1</v>
      </c>
      <c r="S14" s="57">
        <f t="shared" si="0"/>
        <v>0.75</v>
      </c>
      <c r="T14" s="77">
        <f>ROUNDUP((R5*R14)+(R6*S14)+(R7*(R14*2)),2)</f>
        <v>0</v>
      </c>
    </row>
    <row r="15" spans="1:21" ht="18.75" customHeight="1" x14ac:dyDescent="0.15">
      <c r="A15" s="242"/>
      <c r="B15" s="81"/>
      <c r="C15" s="55"/>
      <c r="D15" s="56"/>
      <c r="E15" s="57"/>
      <c r="F15" s="58"/>
      <c r="G15" s="85"/>
      <c r="H15" s="89"/>
      <c r="I15" s="56"/>
      <c r="J15" s="58"/>
      <c r="K15" s="58"/>
      <c r="L15" s="58"/>
      <c r="M15" s="58"/>
      <c r="N15" s="93"/>
      <c r="O15" s="81" t="s">
        <v>209</v>
      </c>
      <c r="P15" s="59" t="s">
        <v>26</v>
      </c>
      <c r="Q15" s="56" t="s">
        <v>27</v>
      </c>
      <c r="R15" s="60">
        <v>0.6</v>
      </c>
      <c r="S15" s="57">
        <f t="shared" si="0"/>
        <v>0.45</v>
      </c>
      <c r="T15" s="77">
        <f>ROUNDUP((R5*R15)+(R6*S15)+(R7*(R15*2)),2)</f>
        <v>0</v>
      </c>
    </row>
    <row r="16" spans="1:21" ht="18.75" customHeight="1" x14ac:dyDescent="0.15">
      <c r="A16" s="242"/>
      <c r="B16" s="81"/>
      <c r="C16" s="55"/>
      <c r="D16" s="56"/>
      <c r="E16" s="57"/>
      <c r="F16" s="58"/>
      <c r="G16" s="85"/>
      <c r="H16" s="89"/>
      <c r="I16" s="56"/>
      <c r="J16" s="58"/>
      <c r="K16" s="58"/>
      <c r="L16" s="58"/>
      <c r="M16" s="58"/>
      <c r="N16" s="93"/>
      <c r="O16" s="81" t="s">
        <v>234</v>
      </c>
      <c r="P16" s="59"/>
      <c r="Q16" s="56"/>
      <c r="R16" s="60"/>
      <c r="S16" s="57"/>
      <c r="T16" s="77"/>
    </row>
    <row r="17" spans="1:20" ht="18.75" customHeight="1" x14ac:dyDescent="0.15">
      <c r="A17" s="242"/>
      <c r="B17" s="81"/>
      <c r="C17" s="55"/>
      <c r="D17" s="56"/>
      <c r="E17" s="57"/>
      <c r="F17" s="58"/>
      <c r="G17" s="85"/>
      <c r="H17" s="89"/>
      <c r="I17" s="56"/>
      <c r="J17" s="58"/>
      <c r="K17" s="58"/>
      <c r="L17" s="58"/>
      <c r="M17" s="58"/>
      <c r="N17" s="93"/>
      <c r="O17" s="81" t="s">
        <v>107</v>
      </c>
      <c r="P17" s="59"/>
      <c r="Q17" s="56"/>
      <c r="R17" s="60"/>
      <c r="S17" s="57"/>
      <c r="T17" s="77"/>
    </row>
    <row r="18" spans="1:20" ht="18.75" customHeight="1" x14ac:dyDescent="0.15">
      <c r="A18" s="242"/>
      <c r="B18" s="82"/>
      <c r="C18" s="61"/>
      <c r="D18" s="62"/>
      <c r="E18" s="63"/>
      <c r="F18" s="64"/>
      <c r="G18" s="86"/>
      <c r="H18" s="90"/>
      <c r="I18" s="62"/>
      <c r="J18" s="64"/>
      <c r="K18" s="64"/>
      <c r="L18" s="64"/>
      <c r="M18" s="64"/>
      <c r="N18" s="94"/>
      <c r="O18" s="82" t="s">
        <v>28</v>
      </c>
      <c r="P18" s="65"/>
      <c r="Q18" s="62"/>
      <c r="R18" s="66"/>
      <c r="S18" s="63"/>
      <c r="T18" s="78"/>
    </row>
    <row r="19" spans="1:20" ht="18.75" customHeight="1" x14ac:dyDescent="0.15">
      <c r="A19" s="242"/>
      <c r="B19" s="81" t="s">
        <v>236</v>
      </c>
      <c r="C19" s="55" t="s">
        <v>56</v>
      </c>
      <c r="D19" s="56"/>
      <c r="E19" s="57">
        <v>10</v>
      </c>
      <c r="F19" s="58" t="s">
        <v>29</v>
      </c>
      <c r="G19" s="85"/>
      <c r="H19" s="89" t="s">
        <v>56</v>
      </c>
      <c r="I19" s="56"/>
      <c r="J19" s="58">
        <f>ROUNDUP(E19*0.75,2)</f>
        <v>7.5</v>
      </c>
      <c r="K19" s="58" t="s">
        <v>29</v>
      </c>
      <c r="L19" s="58"/>
      <c r="M19" s="58">
        <f>ROUNDUP((R5*E19)+(R6*J19)+(R7*(E19*2)),2)</f>
        <v>0</v>
      </c>
      <c r="N19" s="93">
        <f>ROUND(M19+(M19*6/100),2)</f>
        <v>0</v>
      </c>
      <c r="O19" s="81" t="s">
        <v>211</v>
      </c>
      <c r="P19" s="59" t="s">
        <v>54</v>
      </c>
      <c r="Q19" s="56"/>
      <c r="R19" s="60">
        <v>1</v>
      </c>
      <c r="S19" s="57">
        <f>ROUNDUP(R19*0.75,2)</f>
        <v>0.75</v>
      </c>
      <c r="T19" s="77">
        <f>ROUNDUP((R5*R19)+(R6*S19)+(R7*(R19*2)),2)</f>
        <v>0</v>
      </c>
    </row>
    <row r="20" spans="1:20" ht="18.75" customHeight="1" x14ac:dyDescent="0.15">
      <c r="A20" s="242"/>
      <c r="B20" s="81"/>
      <c r="C20" s="55" t="s">
        <v>130</v>
      </c>
      <c r="D20" s="56"/>
      <c r="E20" s="57">
        <v>30</v>
      </c>
      <c r="F20" s="58" t="s">
        <v>29</v>
      </c>
      <c r="G20" s="85"/>
      <c r="H20" s="89" t="s">
        <v>130</v>
      </c>
      <c r="I20" s="56"/>
      <c r="J20" s="58">
        <f>ROUNDUP(E20*0.75,2)</f>
        <v>22.5</v>
      </c>
      <c r="K20" s="58" t="s">
        <v>29</v>
      </c>
      <c r="L20" s="58"/>
      <c r="M20" s="58">
        <f>ROUNDUP((R5*E20)+(R6*J20)+(R7*(E20*2)),2)</f>
        <v>0</v>
      </c>
      <c r="N20" s="93">
        <f>M20</f>
        <v>0</v>
      </c>
      <c r="O20" s="81" t="s">
        <v>293</v>
      </c>
      <c r="P20" s="59" t="s">
        <v>122</v>
      </c>
      <c r="Q20" s="56" t="s">
        <v>27</v>
      </c>
      <c r="R20" s="60">
        <v>5</v>
      </c>
      <c r="S20" s="57">
        <f>ROUNDUP(R20*0.75,2)</f>
        <v>3.75</v>
      </c>
      <c r="T20" s="77">
        <f>ROUNDUP((R5*R20)+(R6*S20)+(R7*(R20*2)),2)</f>
        <v>0</v>
      </c>
    </row>
    <row r="21" spans="1:20" ht="18.75" customHeight="1" x14ac:dyDescent="0.15">
      <c r="A21" s="242"/>
      <c r="B21" s="81"/>
      <c r="C21" s="55" t="s">
        <v>213</v>
      </c>
      <c r="D21" s="56"/>
      <c r="E21" s="97">
        <v>0.1</v>
      </c>
      <c r="F21" s="58" t="s">
        <v>68</v>
      </c>
      <c r="G21" s="85"/>
      <c r="H21" s="89" t="s">
        <v>213</v>
      </c>
      <c r="I21" s="56"/>
      <c r="J21" s="58">
        <f>ROUNDUP(E21*0.75,2)</f>
        <v>0.08</v>
      </c>
      <c r="K21" s="58" t="s">
        <v>68</v>
      </c>
      <c r="L21" s="58"/>
      <c r="M21" s="58">
        <f>ROUNDUP((R5*E21)+(R6*J21)+(R7*(E21*2)),2)</f>
        <v>0</v>
      </c>
      <c r="N21" s="93">
        <f>M21</f>
        <v>0</v>
      </c>
      <c r="O21" s="36" t="s">
        <v>282</v>
      </c>
      <c r="P21" s="59" t="s">
        <v>59</v>
      </c>
      <c r="Q21" s="56"/>
      <c r="R21" s="60">
        <v>2.5</v>
      </c>
      <c r="S21" s="57">
        <f>ROUNDUP(R21*0.75,2)</f>
        <v>1.8800000000000001</v>
      </c>
      <c r="T21" s="77">
        <f>ROUNDUP((R5*R21)+(R6*S21)+(R7*(R21*2)),2)</f>
        <v>0</v>
      </c>
    </row>
    <row r="22" spans="1:20" ht="18.75" customHeight="1" x14ac:dyDescent="0.15">
      <c r="A22" s="242"/>
      <c r="B22" s="81"/>
      <c r="C22" s="55" t="s">
        <v>35</v>
      </c>
      <c r="D22" s="56"/>
      <c r="E22" s="57">
        <v>20</v>
      </c>
      <c r="F22" s="58" t="s">
        <v>29</v>
      </c>
      <c r="G22" s="85"/>
      <c r="H22" s="89" t="s">
        <v>35</v>
      </c>
      <c r="I22" s="56"/>
      <c r="J22" s="58">
        <f>ROUNDUP(E22*0.75,2)</f>
        <v>15</v>
      </c>
      <c r="K22" s="58" t="s">
        <v>29</v>
      </c>
      <c r="L22" s="58"/>
      <c r="M22" s="58">
        <f>ROUNDUP((R5*E22)+(R6*J22)+(R7*(E22*2)),2)</f>
        <v>0</v>
      </c>
      <c r="N22" s="93">
        <f>ROUND(M22+(M22*15/100),2)</f>
        <v>0</v>
      </c>
      <c r="O22" s="81" t="s">
        <v>237</v>
      </c>
      <c r="P22" s="59" t="s">
        <v>34</v>
      </c>
      <c r="Q22" s="56"/>
      <c r="R22" s="60">
        <v>1.5</v>
      </c>
      <c r="S22" s="57">
        <f>ROUNDUP(R22*0.75,2)</f>
        <v>1.1300000000000001</v>
      </c>
      <c r="T22" s="77">
        <f>ROUNDUP((R5*R22)+(R6*S22)+(R7*(R22*2)),2)</f>
        <v>0</v>
      </c>
    </row>
    <row r="23" spans="1:20" ht="18.75" customHeight="1" x14ac:dyDescent="0.15">
      <c r="A23" s="242"/>
      <c r="B23" s="81"/>
      <c r="C23" s="55" t="s">
        <v>87</v>
      </c>
      <c r="D23" s="56"/>
      <c r="E23" s="57">
        <v>10</v>
      </c>
      <c r="F23" s="58" t="s">
        <v>29</v>
      </c>
      <c r="G23" s="85"/>
      <c r="H23" s="89" t="s">
        <v>87</v>
      </c>
      <c r="I23" s="56"/>
      <c r="J23" s="58">
        <f>ROUNDUP(E23*0.75,2)</f>
        <v>7.5</v>
      </c>
      <c r="K23" s="58" t="s">
        <v>29</v>
      </c>
      <c r="L23" s="58"/>
      <c r="M23" s="58">
        <f>ROUNDUP((R5*E23)+(R6*J23)+(R7*(E23*2)),2)</f>
        <v>0</v>
      </c>
      <c r="N23" s="93">
        <f>ROUND(M23+(M23*3/100),2)</f>
        <v>0</v>
      </c>
      <c r="O23" s="81" t="s">
        <v>28</v>
      </c>
      <c r="P23" s="59" t="s">
        <v>54</v>
      </c>
      <c r="Q23" s="56"/>
      <c r="R23" s="60">
        <v>2</v>
      </c>
      <c r="S23" s="57">
        <f>ROUNDUP(R23*0.75,2)</f>
        <v>1.5</v>
      </c>
      <c r="T23" s="77">
        <f>ROUNDUP((R5*R23)+(R6*S23)+(R7*(R23*2)),2)</f>
        <v>0</v>
      </c>
    </row>
    <row r="24" spans="1:20" ht="18.75" customHeight="1" x14ac:dyDescent="0.15">
      <c r="A24" s="242"/>
      <c r="B24" s="82"/>
      <c r="C24" s="61"/>
      <c r="D24" s="62"/>
      <c r="E24" s="63"/>
      <c r="F24" s="64"/>
      <c r="G24" s="86"/>
      <c r="H24" s="90"/>
      <c r="I24" s="62"/>
      <c r="J24" s="64"/>
      <c r="K24" s="64"/>
      <c r="L24" s="64"/>
      <c r="M24" s="64"/>
      <c r="N24" s="94"/>
      <c r="O24" s="82"/>
      <c r="P24" s="65"/>
      <c r="Q24" s="62"/>
      <c r="R24" s="66"/>
      <c r="S24" s="63"/>
      <c r="T24" s="78"/>
    </row>
    <row r="25" spans="1:20" ht="18.75" customHeight="1" x14ac:dyDescent="0.15">
      <c r="A25" s="242"/>
      <c r="B25" s="81" t="s">
        <v>43</v>
      </c>
      <c r="C25" s="55" t="s">
        <v>32</v>
      </c>
      <c r="D25" s="56"/>
      <c r="E25" s="57">
        <v>20</v>
      </c>
      <c r="F25" s="58" t="s">
        <v>29</v>
      </c>
      <c r="G25" s="85"/>
      <c r="H25" s="89" t="s">
        <v>32</v>
      </c>
      <c r="I25" s="56"/>
      <c r="J25" s="58">
        <f>ROUNDUP(E25*0.75,2)</f>
        <v>15</v>
      </c>
      <c r="K25" s="58" t="s">
        <v>29</v>
      </c>
      <c r="L25" s="58"/>
      <c r="M25" s="58">
        <f>ROUNDUP((R5*E25)+(R6*J25)+(R7*(E25*2)),2)</f>
        <v>0</v>
      </c>
      <c r="N25" s="93">
        <f>ROUND(M25+(M25*15/100),2)</f>
        <v>0</v>
      </c>
      <c r="O25" s="81" t="s">
        <v>28</v>
      </c>
      <c r="P25" s="59" t="s">
        <v>25</v>
      </c>
      <c r="Q25" s="56"/>
      <c r="R25" s="60">
        <v>100</v>
      </c>
      <c r="S25" s="57">
        <f>ROUNDUP(R25*0.75,2)</f>
        <v>75</v>
      </c>
      <c r="T25" s="77">
        <f>ROUNDUP((R5*R25)+(R6*S25)+(R7*(R25*2)),2)</f>
        <v>0</v>
      </c>
    </row>
    <row r="26" spans="1:20" ht="18.75" customHeight="1" x14ac:dyDescent="0.15">
      <c r="A26" s="242"/>
      <c r="B26" s="81"/>
      <c r="C26" s="55" t="s">
        <v>36</v>
      </c>
      <c r="D26" s="56" t="s">
        <v>37</v>
      </c>
      <c r="E26" s="75">
        <v>0.125</v>
      </c>
      <c r="F26" s="58" t="s">
        <v>38</v>
      </c>
      <c r="G26" s="85"/>
      <c r="H26" s="89" t="s">
        <v>36</v>
      </c>
      <c r="I26" s="56" t="s">
        <v>37</v>
      </c>
      <c r="J26" s="58">
        <f>ROUNDUP(E26*0.75,2)</f>
        <v>9.9999999999999992E-2</v>
      </c>
      <c r="K26" s="58" t="s">
        <v>38</v>
      </c>
      <c r="L26" s="58"/>
      <c r="M26" s="58">
        <f>ROUNDUP((R5*E26)+(R6*J26)+(R7*(E26*2)),2)</f>
        <v>0</v>
      </c>
      <c r="N26" s="93">
        <f>M26</f>
        <v>0</v>
      </c>
      <c r="O26" s="81"/>
      <c r="P26" s="59" t="s">
        <v>41</v>
      </c>
      <c r="Q26" s="56"/>
      <c r="R26" s="60">
        <v>0.1</v>
      </c>
      <c r="S26" s="57">
        <f>ROUNDUP(R26*0.75,2)</f>
        <v>0.08</v>
      </c>
      <c r="T26" s="77">
        <f>ROUNDUP((R5*R26)+(R6*S26)+(R7*(R26*2)),2)</f>
        <v>0</v>
      </c>
    </row>
    <row r="27" spans="1:20" ht="18.75" customHeight="1" x14ac:dyDescent="0.15">
      <c r="A27" s="242"/>
      <c r="B27" s="81"/>
      <c r="C27" s="55"/>
      <c r="D27" s="56"/>
      <c r="E27" s="57"/>
      <c r="F27" s="58"/>
      <c r="G27" s="85"/>
      <c r="H27" s="89"/>
      <c r="I27" s="56"/>
      <c r="J27" s="58"/>
      <c r="K27" s="58"/>
      <c r="L27" s="58"/>
      <c r="M27" s="58"/>
      <c r="N27" s="93"/>
      <c r="O27" s="81"/>
      <c r="P27" s="59" t="s">
        <v>26</v>
      </c>
      <c r="Q27" s="56" t="s">
        <v>27</v>
      </c>
      <c r="R27" s="60">
        <v>0.5</v>
      </c>
      <c r="S27" s="57">
        <f>ROUNDUP(R27*0.75,2)</f>
        <v>0.38</v>
      </c>
      <c r="T27" s="77">
        <f>ROUNDUP((R5*R27)+(R6*S27)+(R7*(R27*2)),2)</f>
        <v>0</v>
      </c>
    </row>
    <row r="28" spans="1:20" ht="18.75" customHeight="1" x14ac:dyDescent="0.15">
      <c r="A28" s="242"/>
      <c r="B28" s="82"/>
      <c r="C28" s="61"/>
      <c r="D28" s="62"/>
      <c r="E28" s="63"/>
      <c r="F28" s="64"/>
      <c r="G28" s="86"/>
      <c r="H28" s="90"/>
      <c r="I28" s="62"/>
      <c r="J28" s="64"/>
      <c r="K28" s="64"/>
      <c r="L28" s="64"/>
      <c r="M28" s="64"/>
      <c r="N28" s="94"/>
      <c r="O28" s="82"/>
      <c r="P28" s="65"/>
      <c r="Q28" s="62"/>
      <c r="R28" s="66"/>
      <c r="S28" s="63"/>
      <c r="T28" s="78"/>
    </row>
    <row r="29" spans="1:20" ht="18.75" customHeight="1" x14ac:dyDescent="0.15">
      <c r="A29" s="242"/>
      <c r="B29" s="81" t="s">
        <v>103</v>
      </c>
      <c r="C29" s="55" t="s">
        <v>104</v>
      </c>
      <c r="D29" s="56"/>
      <c r="E29" s="98">
        <v>0.16666666666666666</v>
      </c>
      <c r="F29" s="58" t="s">
        <v>38</v>
      </c>
      <c r="G29" s="85"/>
      <c r="H29" s="89" t="s">
        <v>104</v>
      </c>
      <c r="I29" s="56"/>
      <c r="J29" s="58">
        <f>ROUNDUP(E29*0.75,2)</f>
        <v>0.13</v>
      </c>
      <c r="K29" s="58" t="s">
        <v>38</v>
      </c>
      <c r="L29" s="58"/>
      <c r="M29" s="58">
        <f>ROUNDUP((R5*E29)+(R6*J29)+(R7*(E29*2)),2)</f>
        <v>0</v>
      </c>
      <c r="N29" s="93">
        <f>M29</f>
        <v>0</v>
      </c>
      <c r="O29" s="81" t="s">
        <v>61</v>
      </c>
      <c r="P29" s="59"/>
      <c r="Q29" s="56"/>
      <c r="R29" s="60"/>
      <c r="S29" s="57"/>
      <c r="T29" s="77"/>
    </row>
    <row r="30" spans="1:20" ht="18.75" customHeight="1" thickBot="1" x14ac:dyDescent="0.2">
      <c r="A30" s="243"/>
      <c r="B30" s="83"/>
      <c r="C30" s="68"/>
      <c r="D30" s="69"/>
      <c r="E30" s="70"/>
      <c r="F30" s="71"/>
      <c r="G30" s="87"/>
      <c r="H30" s="91"/>
      <c r="I30" s="69"/>
      <c r="J30" s="71"/>
      <c r="K30" s="71"/>
      <c r="L30" s="71"/>
      <c r="M30" s="71"/>
      <c r="N30" s="95"/>
      <c r="O30" s="83"/>
      <c r="P30" s="72"/>
      <c r="Q30" s="69"/>
      <c r="R30" s="73"/>
      <c r="S30" s="70"/>
      <c r="T30" s="79"/>
    </row>
    <row r="31" spans="1:20" ht="18.75" customHeight="1" x14ac:dyDescent="0.15">
      <c r="Q31" s="283" t="s">
        <v>288</v>
      </c>
      <c r="R31" s="283"/>
      <c r="S31" s="283"/>
      <c r="T31" s="283"/>
    </row>
  </sheetData>
  <mergeCells count="7">
    <mergeCell ref="B5:C6"/>
    <mergeCell ref="Q31:T31"/>
    <mergeCell ref="H1:O1"/>
    <mergeCell ref="A2:T2"/>
    <mergeCell ref="Q3:T3"/>
    <mergeCell ref="A8:F8"/>
    <mergeCell ref="A10:A30"/>
  </mergeCells>
  <phoneticPr fontId="19"/>
  <printOptions horizontalCentered="1" verticalCentered="1"/>
  <pageMargins left="0.39370078740157483" right="0.39370078740157483" top="0.39370078740157483" bottom="0.39370078740157483" header="0.39370078740157483" footer="0.39370078740157483"/>
  <pageSetup paperSize="12" scale="5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435</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409</v>
      </c>
      <c r="C13" s="132" t="s">
        <v>130</v>
      </c>
      <c r="D13" s="132"/>
      <c r="E13" s="56"/>
      <c r="F13" s="56"/>
      <c r="G13" s="132"/>
      <c r="H13" s="135">
        <v>10</v>
      </c>
      <c r="I13" s="132" t="s">
        <v>410</v>
      </c>
      <c r="J13" s="136" t="s">
        <v>370</v>
      </c>
      <c r="K13" s="135">
        <v>5</v>
      </c>
      <c r="L13" s="132" t="s">
        <v>411</v>
      </c>
      <c r="M13" s="132" t="s">
        <v>213</v>
      </c>
      <c r="N13" s="133">
        <v>0.1</v>
      </c>
      <c r="O13" s="134"/>
    </row>
    <row r="14" spans="1:21" ht="14.25" x14ac:dyDescent="0.15">
      <c r="A14" s="265"/>
      <c r="B14" s="132"/>
      <c r="C14" s="132" t="s">
        <v>213</v>
      </c>
      <c r="D14" s="132"/>
      <c r="E14" s="56"/>
      <c r="F14" s="56"/>
      <c r="G14" s="132"/>
      <c r="H14" s="133">
        <v>0.1</v>
      </c>
      <c r="I14" s="132"/>
      <c r="J14" s="132" t="s">
        <v>213</v>
      </c>
      <c r="K14" s="133">
        <v>0.1</v>
      </c>
      <c r="L14" s="132"/>
      <c r="M14" s="132" t="s">
        <v>87</v>
      </c>
      <c r="N14" s="135">
        <v>10</v>
      </c>
      <c r="O14" s="134"/>
    </row>
    <row r="15" spans="1:21" ht="14.25" x14ac:dyDescent="0.15">
      <c r="A15" s="265"/>
      <c r="B15" s="132"/>
      <c r="C15" s="132" t="s">
        <v>87</v>
      </c>
      <c r="D15" s="132"/>
      <c r="E15" s="56"/>
      <c r="F15" s="56"/>
      <c r="G15" s="132"/>
      <c r="H15" s="135">
        <v>10</v>
      </c>
      <c r="I15" s="132"/>
      <c r="J15" s="132" t="s">
        <v>87</v>
      </c>
      <c r="K15" s="135">
        <v>10</v>
      </c>
      <c r="L15" s="132"/>
      <c r="M15" s="132" t="s">
        <v>56</v>
      </c>
      <c r="N15" s="135">
        <v>5</v>
      </c>
      <c r="O15" s="134"/>
    </row>
    <row r="16" spans="1:21" ht="14.25" x14ac:dyDescent="0.15">
      <c r="A16" s="265"/>
      <c r="B16" s="132"/>
      <c r="C16" s="132" t="s">
        <v>56</v>
      </c>
      <c r="D16" s="132"/>
      <c r="E16" s="56"/>
      <c r="F16" s="56"/>
      <c r="G16" s="132"/>
      <c r="H16" s="135">
        <v>10</v>
      </c>
      <c r="I16" s="132"/>
      <c r="J16" s="132" t="s">
        <v>56</v>
      </c>
      <c r="K16" s="135">
        <v>5</v>
      </c>
      <c r="L16" s="129"/>
      <c r="M16" s="129"/>
      <c r="N16" s="130"/>
      <c r="O16" s="131"/>
    </row>
    <row r="17" spans="1:15" ht="14.25" x14ac:dyDescent="0.15">
      <c r="A17" s="265"/>
      <c r="B17" s="132"/>
      <c r="C17" s="132" t="s">
        <v>165</v>
      </c>
      <c r="D17" s="132"/>
      <c r="E17" s="56"/>
      <c r="F17" s="56"/>
      <c r="G17" s="132"/>
      <c r="H17" s="135">
        <v>5</v>
      </c>
      <c r="I17" s="132"/>
      <c r="J17" s="132"/>
      <c r="K17" s="135"/>
      <c r="L17" s="132" t="s">
        <v>412</v>
      </c>
      <c r="M17" s="132" t="s">
        <v>35</v>
      </c>
      <c r="N17" s="135">
        <v>10</v>
      </c>
      <c r="O17" s="134"/>
    </row>
    <row r="18" spans="1:15" ht="14.25" x14ac:dyDescent="0.15">
      <c r="A18" s="265"/>
      <c r="B18" s="132"/>
      <c r="C18" s="132"/>
      <c r="D18" s="132"/>
      <c r="E18" s="56"/>
      <c r="F18" s="56"/>
      <c r="G18" s="132" t="s">
        <v>55</v>
      </c>
      <c r="H18" s="135" t="s">
        <v>354</v>
      </c>
      <c r="I18" s="132"/>
      <c r="J18" s="132"/>
      <c r="K18" s="135"/>
      <c r="L18" s="132"/>
      <c r="M18" s="132" t="s">
        <v>32</v>
      </c>
      <c r="N18" s="135">
        <v>5</v>
      </c>
      <c r="O18" s="134"/>
    </row>
    <row r="19" spans="1:15" ht="14.25" x14ac:dyDescent="0.15">
      <c r="A19" s="265"/>
      <c r="B19" s="132"/>
      <c r="C19" s="132"/>
      <c r="D19" s="132"/>
      <c r="E19" s="56"/>
      <c r="F19" s="56"/>
      <c r="G19" s="132" t="s">
        <v>41</v>
      </c>
      <c r="H19" s="135" t="s">
        <v>356</v>
      </c>
      <c r="I19" s="129"/>
      <c r="J19" s="129"/>
      <c r="K19" s="130"/>
      <c r="L19" s="132"/>
      <c r="M19" s="132"/>
      <c r="N19" s="135"/>
      <c r="O19" s="134"/>
    </row>
    <row r="20" spans="1:15" ht="14.25" x14ac:dyDescent="0.15">
      <c r="A20" s="265"/>
      <c r="B20" s="129"/>
      <c r="C20" s="129"/>
      <c r="D20" s="129"/>
      <c r="E20" s="62"/>
      <c r="F20" s="62"/>
      <c r="G20" s="129"/>
      <c r="H20" s="130"/>
      <c r="I20" s="132" t="s">
        <v>395</v>
      </c>
      <c r="J20" s="132" t="s">
        <v>35</v>
      </c>
      <c r="K20" s="135">
        <v>20</v>
      </c>
      <c r="L20" s="132"/>
      <c r="M20" s="132"/>
      <c r="N20" s="135"/>
      <c r="O20" s="134"/>
    </row>
    <row r="21" spans="1:15" ht="14.25" x14ac:dyDescent="0.15">
      <c r="A21" s="265"/>
      <c r="B21" s="132" t="s">
        <v>395</v>
      </c>
      <c r="C21" s="132" t="s">
        <v>35</v>
      </c>
      <c r="D21" s="132"/>
      <c r="E21" s="56"/>
      <c r="F21" s="56"/>
      <c r="G21" s="132"/>
      <c r="H21" s="135">
        <v>20</v>
      </c>
      <c r="I21" s="129"/>
      <c r="J21" s="129"/>
      <c r="K21" s="130"/>
      <c r="L21" s="132"/>
      <c r="M21" s="132"/>
      <c r="N21" s="135"/>
      <c r="O21" s="134"/>
    </row>
    <row r="22" spans="1:15" ht="14.25" x14ac:dyDescent="0.15">
      <c r="A22" s="265"/>
      <c r="B22" s="129"/>
      <c r="C22" s="129"/>
      <c r="D22" s="129"/>
      <c r="E22" s="62"/>
      <c r="F22" s="62"/>
      <c r="G22" s="129"/>
      <c r="H22" s="130"/>
      <c r="I22" s="132" t="s">
        <v>43</v>
      </c>
      <c r="J22" s="132" t="s">
        <v>32</v>
      </c>
      <c r="K22" s="135">
        <v>10</v>
      </c>
      <c r="L22" s="132"/>
      <c r="M22" s="132"/>
      <c r="N22" s="135"/>
      <c r="O22" s="134"/>
    </row>
    <row r="23" spans="1:15" ht="14.25" x14ac:dyDescent="0.15">
      <c r="A23" s="265"/>
      <c r="B23" s="132" t="s">
        <v>43</v>
      </c>
      <c r="C23" s="132" t="s">
        <v>32</v>
      </c>
      <c r="D23" s="132"/>
      <c r="E23" s="56"/>
      <c r="F23" s="137"/>
      <c r="G23" s="132"/>
      <c r="H23" s="135">
        <v>10</v>
      </c>
      <c r="I23" s="132"/>
      <c r="J23" s="132" t="s">
        <v>375</v>
      </c>
      <c r="K23" s="138">
        <v>0.13</v>
      </c>
      <c r="L23" s="132"/>
      <c r="M23" s="132"/>
      <c r="N23" s="135"/>
      <c r="O23" s="134"/>
    </row>
    <row r="24" spans="1:15" ht="14.25" x14ac:dyDescent="0.15">
      <c r="A24" s="265"/>
      <c r="B24" s="132"/>
      <c r="C24" s="132" t="s">
        <v>36</v>
      </c>
      <c r="D24" s="132"/>
      <c r="E24" s="56" t="s">
        <v>37</v>
      </c>
      <c r="F24" s="56"/>
      <c r="G24" s="132"/>
      <c r="H24" s="138">
        <v>0.13</v>
      </c>
      <c r="I24" s="132"/>
      <c r="J24" s="132"/>
      <c r="K24" s="135"/>
      <c r="L24" s="132"/>
      <c r="M24" s="132"/>
      <c r="N24" s="135"/>
      <c r="O24" s="134"/>
    </row>
    <row r="25" spans="1:15" ht="14.25" x14ac:dyDescent="0.15">
      <c r="A25" s="265"/>
      <c r="B25" s="132"/>
      <c r="C25" s="132"/>
      <c r="D25" s="132"/>
      <c r="E25" s="56"/>
      <c r="F25" s="56"/>
      <c r="G25" s="132" t="s">
        <v>25</v>
      </c>
      <c r="H25" s="135" t="s">
        <v>354</v>
      </c>
      <c r="I25" s="132"/>
      <c r="J25" s="132"/>
      <c r="K25" s="135"/>
      <c r="L25" s="132"/>
      <c r="M25" s="132"/>
      <c r="N25" s="135"/>
      <c r="O25" s="134"/>
    </row>
    <row r="26" spans="1:15" ht="14.25" x14ac:dyDescent="0.15">
      <c r="A26" s="265"/>
      <c r="B26" s="132"/>
      <c r="C26" s="132"/>
      <c r="D26" s="132"/>
      <c r="E26" s="56"/>
      <c r="F26" s="56" t="s">
        <v>27</v>
      </c>
      <c r="G26" s="132" t="s">
        <v>26</v>
      </c>
      <c r="H26" s="135" t="s">
        <v>356</v>
      </c>
      <c r="I26" s="129"/>
      <c r="J26" s="129"/>
      <c r="K26" s="130"/>
      <c r="L26" s="132"/>
      <c r="M26" s="132"/>
      <c r="N26" s="135"/>
      <c r="O26" s="134"/>
    </row>
    <row r="27" spans="1:15" ht="14.25" x14ac:dyDescent="0.15">
      <c r="A27" s="265"/>
      <c r="B27" s="129"/>
      <c r="C27" s="129"/>
      <c r="D27" s="129"/>
      <c r="E27" s="62"/>
      <c r="F27" s="62"/>
      <c r="G27" s="129"/>
      <c r="H27" s="130"/>
      <c r="I27" s="132" t="s">
        <v>103</v>
      </c>
      <c r="J27" s="132" t="s">
        <v>104</v>
      </c>
      <c r="K27" s="133">
        <v>0.1</v>
      </c>
      <c r="L27" s="132"/>
      <c r="M27" s="132"/>
      <c r="N27" s="135"/>
      <c r="O27" s="134"/>
    </row>
    <row r="28" spans="1:15" ht="14.25" x14ac:dyDescent="0.15">
      <c r="A28" s="265"/>
      <c r="B28" s="132" t="s">
        <v>103</v>
      </c>
      <c r="C28" s="132" t="s">
        <v>104</v>
      </c>
      <c r="D28" s="132"/>
      <c r="E28" s="56"/>
      <c r="F28" s="56"/>
      <c r="G28" s="132"/>
      <c r="H28" s="133">
        <v>0.1</v>
      </c>
      <c r="I28" s="132"/>
      <c r="J28" s="132"/>
      <c r="K28" s="135"/>
      <c r="L28" s="132"/>
      <c r="M28" s="132"/>
      <c r="N28" s="135"/>
      <c r="O28" s="134"/>
    </row>
    <row r="29" spans="1:15" ht="15" thickBot="1" x14ac:dyDescent="0.2">
      <c r="A29" s="266"/>
      <c r="B29" s="139"/>
      <c r="C29" s="139"/>
      <c r="D29" s="139"/>
      <c r="E29" s="69"/>
      <c r="F29" s="69"/>
      <c r="G29" s="139"/>
      <c r="H29" s="140"/>
      <c r="I29" s="139"/>
      <c r="J29" s="139"/>
      <c r="K29" s="140"/>
      <c r="L29" s="139"/>
      <c r="M29" s="139"/>
      <c r="N29" s="140"/>
      <c r="O29" s="141"/>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sheetData>
  <mergeCells count="15">
    <mergeCell ref="L8:N8"/>
    <mergeCell ref="O8:O10"/>
    <mergeCell ref="I9:K9"/>
    <mergeCell ref="L9:N9"/>
    <mergeCell ref="A11:A29"/>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238</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23</v>
      </c>
      <c r="C10" s="48"/>
      <c r="D10" s="49"/>
      <c r="E10" s="54"/>
      <c r="F10" s="51"/>
      <c r="G10" s="84"/>
      <c r="H10" s="88"/>
      <c r="I10" s="49"/>
      <c r="J10" s="51"/>
      <c r="K10" s="51"/>
      <c r="L10" s="51"/>
      <c r="M10" s="51"/>
      <c r="N10" s="92"/>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64</v>
      </c>
      <c r="C12" s="55" t="s">
        <v>67</v>
      </c>
      <c r="D12" s="56"/>
      <c r="E12" s="96">
        <v>0.33333333333333331</v>
      </c>
      <c r="F12" s="58" t="s">
        <v>68</v>
      </c>
      <c r="G12" s="85"/>
      <c r="H12" s="89" t="s">
        <v>67</v>
      </c>
      <c r="I12" s="56"/>
      <c r="J12" s="58">
        <f>ROUNDUP(E12*0.75,2)</f>
        <v>0.25</v>
      </c>
      <c r="K12" s="58" t="s">
        <v>68</v>
      </c>
      <c r="L12" s="58"/>
      <c r="M12" s="58">
        <f>ROUNDUP((R5*E12)+(R6*J12)+(R7*(E12*2)),2)</f>
        <v>0</v>
      </c>
      <c r="N12" s="93">
        <f>M12</f>
        <v>0</v>
      </c>
      <c r="O12" s="81" t="s">
        <v>65</v>
      </c>
      <c r="P12" s="59" t="s">
        <v>30</v>
      </c>
      <c r="Q12" s="56"/>
      <c r="R12" s="60">
        <v>0.5</v>
      </c>
      <c r="S12" s="57">
        <f t="shared" ref="S12:S18" si="0">ROUNDUP(R12*0.75,2)</f>
        <v>0.38</v>
      </c>
      <c r="T12" s="77">
        <f>ROUNDUP((R5*R12)+(R6*S12)+(R7*(R12*2)),2)</f>
        <v>0</v>
      </c>
    </row>
    <row r="13" spans="1:21" ht="18.75" customHeight="1" x14ac:dyDescent="0.15">
      <c r="A13" s="242"/>
      <c r="B13" s="81"/>
      <c r="C13" s="55" t="s">
        <v>69</v>
      </c>
      <c r="D13" s="56"/>
      <c r="E13" s="57">
        <v>20</v>
      </c>
      <c r="F13" s="58" t="s">
        <v>29</v>
      </c>
      <c r="G13" s="85"/>
      <c r="H13" s="89" t="s">
        <v>69</v>
      </c>
      <c r="I13" s="56"/>
      <c r="J13" s="58">
        <f>ROUNDUP(E13*0.75,2)</f>
        <v>15</v>
      </c>
      <c r="K13" s="58" t="s">
        <v>29</v>
      </c>
      <c r="L13" s="58"/>
      <c r="M13" s="58">
        <f>ROUNDUP((R5*E13)+(R6*J13)+(R7*(E13*2)),2)</f>
        <v>0</v>
      </c>
      <c r="N13" s="93">
        <f>M13</f>
        <v>0</v>
      </c>
      <c r="O13" s="100" t="s">
        <v>327</v>
      </c>
      <c r="P13" s="59" t="s">
        <v>71</v>
      </c>
      <c r="Q13" s="56"/>
      <c r="R13" s="60">
        <v>2</v>
      </c>
      <c r="S13" s="57">
        <f t="shared" si="0"/>
        <v>1.5</v>
      </c>
      <c r="T13" s="77">
        <f>ROUNDUP((R5*R13)+(R6*S13)+(R7*(R13*2)),2)</f>
        <v>0</v>
      </c>
    </row>
    <row r="14" spans="1:21" ht="18.75" customHeight="1" x14ac:dyDescent="0.15">
      <c r="A14" s="242"/>
      <c r="B14" s="81"/>
      <c r="C14" s="55" t="s">
        <v>56</v>
      </c>
      <c r="D14" s="56"/>
      <c r="E14" s="57">
        <v>20</v>
      </c>
      <c r="F14" s="58" t="s">
        <v>29</v>
      </c>
      <c r="G14" s="85"/>
      <c r="H14" s="89" t="s">
        <v>56</v>
      </c>
      <c r="I14" s="56"/>
      <c r="J14" s="58">
        <f>ROUNDUP(E14*0.75,2)</f>
        <v>15</v>
      </c>
      <c r="K14" s="58" t="s">
        <v>29</v>
      </c>
      <c r="L14" s="58"/>
      <c r="M14" s="58">
        <f>ROUNDUP((R5*E14)+(R6*J14)+(R7*(E14*2)),2)</f>
        <v>0</v>
      </c>
      <c r="N14" s="93">
        <f>ROUND(M14+(M14*6/100),2)</f>
        <v>0</v>
      </c>
      <c r="O14" s="100" t="s">
        <v>328</v>
      </c>
      <c r="P14" s="59" t="s">
        <v>25</v>
      </c>
      <c r="Q14" s="56"/>
      <c r="R14" s="60">
        <v>15</v>
      </c>
      <c r="S14" s="57">
        <f t="shared" si="0"/>
        <v>11.25</v>
      </c>
      <c r="T14" s="77">
        <f>ROUNDUP((R5*R14)+(R6*S14)+(R7*(R14*2)),2)</f>
        <v>0</v>
      </c>
    </row>
    <row r="15" spans="1:21" ht="18.75" customHeight="1" x14ac:dyDescent="0.15">
      <c r="A15" s="242"/>
      <c r="B15" s="81"/>
      <c r="C15" s="55" t="s">
        <v>33</v>
      </c>
      <c r="D15" s="56"/>
      <c r="E15" s="57">
        <v>5</v>
      </c>
      <c r="F15" s="58" t="s">
        <v>29</v>
      </c>
      <c r="G15" s="85"/>
      <c r="H15" s="89" t="s">
        <v>33</v>
      </c>
      <c r="I15" s="56"/>
      <c r="J15" s="58">
        <f>ROUNDUP(E15*0.75,2)</f>
        <v>3.75</v>
      </c>
      <c r="K15" s="58" t="s">
        <v>29</v>
      </c>
      <c r="L15" s="58"/>
      <c r="M15" s="58">
        <f>ROUNDUP((R5*E15)+(R6*J15)+(R7*(E15*2)),2)</f>
        <v>0</v>
      </c>
      <c r="N15" s="93">
        <f>ROUND(M15+(M15*10/100),2)</f>
        <v>0</v>
      </c>
      <c r="O15" s="36" t="s">
        <v>294</v>
      </c>
      <c r="P15" s="59" t="s">
        <v>50</v>
      </c>
      <c r="Q15" s="56"/>
      <c r="R15" s="60">
        <v>0.5</v>
      </c>
      <c r="S15" s="57">
        <f t="shared" si="0"/>
        <v>0.38</v>
      </c>
      <c r="T15" s="77">
        <f>ROUNDUP((R5*R15)+(R6*S15)+(R7*(R15*2)),2)</f>
        <v>0</v>
      </c>
    </row>
    <row r="16" spans="1:21" ht="18.75" customHeight="1" x14ac:dyDescent="0.15">
      <c r="A16" s="242"/>
      <c r="B16" s="81"/>
      <c r="C16" s="55" t="s">
        <v>70</v>
      </c>
      <c r="D16" s="56"/>
      <c r="E16" s="57">
        <v>5</v>
      </c>
      <c r="F16" s="58" t="s">
        <v>29</v>
      </c>
      <c r="G16" s="85"/>
      <c r="H16" s="89" t="s">
        <v>70</v>
      </c>
      <c r="I16" s="56"/>
      <c r="J16" s="58">
        <f>ROUNDUP(E16*0.75,2)</f>
        <v>3.75</v>
      </c>
      <c r="K16" s="58" t="s">
        <v>29</v>
      </c>
      <c r="L16" s="58"/>
      <c r="M16" s="58">
        <f>ROUNDUP((R5*E16)+(R6*J16)+(R7*(E16*2)),2)</f>
        <v>0</v>
      </c>
      <c r="N16" s="93">
        <f>M16</f>
        <v>0</v>
      </c>
      <c r="O16" s="81" t="s">
        <v>66</v>
      </c>
      <c r="P16" s="59" t="s">
        <v>26</v>
      </c>
      <c r="Q16" s="56" t="s">
        <v>27</v>
      </c>
      <c r="R16" s="60">
        <v>1</v>
      </c>
      <c r="S16" s="57">
        <f t="shared" si="0"/>
        <v>0.75</v>
      </c>
      <c r="T16" s="77">
        <f>ROUNDUP((R5*R16)+(R6*S16)+(R7*(R16*2)),2)</f>
        <v>0</v>
      </c>
    </row>
    <row r="17" spans="1:20" ht="18.75" customHeight="1" x14ac:dyDescent="0.15">
      <c r="A17" s="242"/>
      <c r="B17" s="81"/>
      <c r="C17" s="55"/>
      <c r="D17" s="56"/>
      <c r="E17" s="57"/>
      <c r="F17" s="58"/>
      <c r="G17" s="85"/>
      <c r="H17" s="89"/>
      <c r="I17" s="56"/>
      <c r="J17" s="58"/>
      <c r="K17" s="58"/>
      <c r="L17" s="58"/>
      <c r="M17" s="58"/>
      <c r="N17" s="93"/>
      <c r="O17" s="81" t="s">
        <v>28</v>
      </c>
      <c r="P17" s="59" t="s">
        <v>34</v>
      </c>
      <c r="Q17" s="56"/>
      <c r="R17" s="60">
        <v>2</v>
      </c>
      <c r="S17" s="57">
        <f t="shared" si="0"/>
        <v>1.5</v>
      </c>
      <c r="T17" s="77">
        <f>ROUNDUP((R5*R17)+(R6*S17)+(R7*(R17*2)),2)</f>
        <v>0</v>
      </c>
    </row>
    <row r="18" spans="1:20" ht="18.75" customHeight="1" x14ac:dyDescent="0.15">
      <c r="A18" s="242"/>
      <c r="B18" s="81"/>
      <c r="C18" s="55"/>
      <c r="D18" s="56"/>
      <c r="E18" s="57"/>
      <c r="F18" s="58"/>
      <c r="G18" s="85"/>
      <c r="H18" s="89"/>
      <c r="I18" s="56"/>
      <c r="J18" s="58"/>
      <c r="K18" s="58"/>
      <c r="L18" s="58"/>
      <c r="M18" s="58"/>
      <c r="N18" s="93"/>
      <c r="O18" s="81"/>
      <c r="P18" s="59" t="s">
        <v>31</v>
      </c>
      <c r="Q18" s="56"/>
      <c r="R18" s="60">
        <v>1</v>
      </c>
      <c r="S18" s="57">
        <f t="shared" si="0"/>
        <v>0.75</v>
      </c>
      <c r="T18" s="77">
        <f>ROUNDUP((R5*R18)+(R6*S18)+(R7*(R18*2)),2)</f>
        <v>0</v>
      </c>
    </row>
    <row r="19" spans="1:20" ht="18.75" customHeight="1" x14ac:dyDescent="0.15">
      <c r="A19" s="242"/>
      <c r="B19" s="82"/>
      <c r="C19" s="61"/>
      <c r="D19" s="62"/>
      <c r="E19" s="63"/>
      <c r="F19" s="64"/>
      <c r="G19" s="86"/>
      <c r="H19" s="90"/>
      <c r="I19" s="62"/>
      <c r="J19" s="64"/>
      <c r="K19" s="64"/>
      <c r="L19" s="64"/>
      <c r="M19" s="64"/>
      <c r="N19" s="94"/>
      <c r="O19" s="82"/>
      <c r="P19" s="65"/>
      <c r="Q19" s="62"/>
      <c r="R19" s="66"/>
      <c r="S19" s="63"/>
      <c r="T19" s="78"/>
    </row>
    <row r="20" spans="1:20" ht="18.75" customHeight="1" x14ac:dyDescent="0.15">
      <c r="A20" s="242"/>
      <c r="B20" s="81" t="s">
        <v>239</v>
      </c>
      <c r="C20" s="55" t="s">
        <v>75</v>
      </c>
      <c r="D20" s="56"/>
      <c r="E20" s="97">
        <v>0.1</v>
      </c>
      <c r="F20" s="58" t="s">
        <v>24</v>
      </c>
      <c r="G20" s="85" t="s">
        <v>52</v>
      </c>
      <c r="H20" s="89" t="s">
        <v>75</v>
      </c>
      <c r="I20" s="56"/>
      <c r="J20" s="58">
        <f>ROUNDUP(E20*0.75,2)</f>
        <v>0.08</v>
      </c>
      <c r="K20" s="58" t="s">
        <v>24</v>
      </c>
      <c r="L20" s="58" t="s">
        <v>52</v>
      </c>
      <c r="M20" s="58">
        <f>ROUNDUP((R5*E20)+(R6*J20)+(R7*(E20*2)),2)</f>
        <v>0</v>
      </c>
      <c r="N20" s="93">
        <f>M20</f>
        <v>0</v>
      </c>
      <c r="O20" s="81" t="s">
        <v>72</v>
      </c>
      <c r="P20" s="59" t="s">
        <v>78</v>
      </c>
      <c r="Q20" s="56" t="s">
        <v>79</v>
      </c>
      <c r="R20" s="60">
        <v>4</v>
      </c>
      <c r="S20" s="57">
        <f>ROUNDUP(R20*0.75,2)</f>
        <v>3</v>
      </c>
      <c r="T20" s="77">
        <f>ROUNDUP((R5*R20)+(R6*S20)+(R7*(R20*2)),2)</f>
        <v>0</v>
      </c>
    </row>
    <row r="21" spans="1:20" ht="18.75" customHeight="1" x14ac:dyDescent="0.15">
      <c r="A21" s="242"/>
      <c r="B21" s="101" t="s">
        <v>240</v>
      </c>
      <c r="C21" s="55" t="s">
        <v>76</v>
      </c>
      <c r="D21" s="56"/>
      <c r="E21" s="57">
        <v>30</v>
      </c>
      <c r="F21" s="58" t="s">
        <v>29</v>
      </c>
      <c r="G21" s="85"/>
      <c r="H21" s="89" t="s">
        <v>76</v>
      </c>
      <c r="I21" s="56"/>
      <c r="J21" s="58">
        <f>ROUNDUP(E21*0.75,2)</f>
        <v>22.5</v>
      </c>
      <c r="K21" s="58" t="s">
        <v>29</v>
      </c>
      <c r="L21" s="58"/>
      <c r="M21" s="58">
        <f>ROUNDUP((R5*E21)+(R6*J21)+(R7*(E21*2)),2)</f>
        <v>0</v>
      </c>
      <c r="N21" s="93">
        <f>ROUND(M21+(M21*6/100),2)</f>
        <v>0</v>
      </c>
      <c r="O21" s="81" t="s">
        <v>73</v>
      </c>
      <c r="P21" s="59" t="s">
        <v>50</v>
      </c>
      <c r="Q21" s="56"/>
      <c r="R21" s="60">
        <v>0.3</v>
      </c>
      <c r="S21" s="57">
        <f>ROUNDUP(R21*0.75,2)</f>
        <v>0.23</v>
      </c>
      <c r="T21" s="77">
        <f>ROUNDUP((R5*R21)+(R6*S21)+(R7*(R21*2)),2)</f>
        <v>0</v>
      </c>
    </row>
    <row r="22" spans="1:20" ht="18.75" customHeight="1" x14ac:dyDescent="0.15">
      <c r="A22" s="242"/>
      <c r="B22" s="81"/>
      <c r="C22" s="55" t="s">
        <v>77</v>
      </c>
      <c r="D22" s="56"/>
      <c r="E22" s="57">
        <v>10</v>
      </c>
      <c r="F22" s="58" t="s">
        <v>29</v>
      </c>
      <c r="G22" s="85"/>
      <c r="H22" s="89" t="s">
        <v>77</v>
      </c>
      <c r="I22" s="56"/>
      <c r="J22" s="58">
        <f>ROUNDUP(E22*0.75,2)</f>
        <v>7.5</v>
      </c>
      <c r="K22" s="58" t="s">
        <v>29</v>
      </c>
      <c r="L22" s="58"/>
      <c r="M22" s="58">
        <f>ROUNDUP((R5*E22)+(R6*J22)+(R7*(E22*2)),2)</f>
        <v>0</v>
      </c>
      <c r="N22" s="93">
        <f>M22</f>
        <v>0</v>
      </c>
      <c r="O22" s="81" t="s">
        <v>74</v>
      </c>
      <c r="P22" s="59" t="s">
        <v>26</v>
      </c>
      <c r="Q22" s="56" t="s">
        <v>27</v>
      </c>
      <c r="R22" s="60">
        <v>0.3</v>
      </c>
      <c r="S22" s="57">
        <f>ROUNDUP(R22*0.75,2)</f>
        <v>0.23</v>
      </c>
      <c r="T22" s="77">
        <f>ROUNDUP((R5*R22)+(R6*S22)+(R7*(R22*2)),2)</f>
        <v>0</v>
      </c>
    </row>
    <row r="23" spans="1:20" ht="18.75" customHeight="1" x14ac:dyDescent="0.15">
      <c r="A23" s="242"/>
      <c r="B23" s="81"/>
      <c r="C23" s="55"/>
      <c r="D23" s="56"/>
      <c r="E23" s="57"/>
      <c r="F23" s="58"/>
      <c r="G23" s="85"/>
      <c r="H23" s="89"/>
      <c r="I23" s="56"/>
      <c r="J23" s="58"/>
      <c r="K23" s="58"/>
      <c r="L23" s="58"/>
      <c r="M23" s="58"/>
      <c r="N23" s="93"/>
      <c r="O23" s="81" t="s">
        <v>28</v>
      </c>
      <c r="P23" s="59"/>
      <c r="Q23" s="56"/>
      <c r="R23" s="60"/>
      <c r="S23" s="57"/>
      <c r="T23" s="77"/>
    </row>
    <row r="24" spans="1:20" ht="18.75" customHeight="1" x14ac:dyDescent="0.15">
      <c r="A24" s="242"/>
      <c r="B24" s="82"/>
      <c r="C24" s="61"/>
      <c r="D24" s="62"/>
      <c r="E24" s="63"/>
      <c r="F24" s="64"/>
      <c r="G24" s="86"/>
      <c r="H24" s="90"/>
      <c r="I24" s="62"/>
      <c r="J24" s="64"/>
      <c r="K24" s="64"/>
      <c r="L24" s="64"/>
      <c r="M24" s="64"/>
      <c r="N24" s="94"/>
      <c r="O24" s="82"/>
      <c r="P24" s="65"/>
      <c r="Q24" s="62"/>
      <c r="R24" s="66"/>
      <c r="S24" s="63"/>
      <c r="T24" s="78"/>
    </row>
    <row r="25" spans="1:20" ht="18.75" customHeight="1" x14ac:dyDescent="0.15">
      <c r="A25" s="242"/>
      <c r="B25" s="81" t="s">
        <v>58</v>
      </c>
      <c r="C25" s="55" t="s">
        <v>80</v>
      </c>
      <c r="D25" s="56"/>
      <c r="E25" s="57">
        <v>20</v>
      </c>
      <c r="F25" s="58" t="s">
        <v>29</v>
      </c>
      <c r="G25" s="85"/>
      <c r="H25" s="89" t="s">
        <v>80</v>
      </c>
      <c r="I25" s="56"/>
      <c r="J25" s="58">
        <f>ROUNDUP(E25*0.75,2)</f>
        <v>15</v>
      </c>
      <c r="K25" s="58" t="s">
        <v>29</v>
      </c>
      <c r="L25" s="58"/>
      <c r="M25" s="58">
        <f>ROUNDUP((R5*E25)+(R6*J25)+(R7*(E25*2)),2)</f>
        <v>0</v>
      </c>
      <c r="N25" s="93">
        <f>M25</f>
        <v>0</v>
      </c>
      <c r="O25" s="81" t="s">
        <v>28</v>
      </c>
      <c r="P25" s="59" t="s">
        <v>25</v>
      </c>
      <c r="Q25" s="56"/>
      <c r="R25" s="60">
        <v>100</v>
      </c>
      <c r="S25" s="57">
        <f>ROUNDUP(R25*0.75,2)</f>
        <v>75</v>
      </c>
      <c r="T25" s="77">
        <f>ROUNDUP((R5*R25)+(R6*S25)+(R7*(R25*2)),2)</f>
        <v>0</v>
      </c>
    </row>
    <row r="26" spans="1:20" ht="18.75" customHeight="1" x14ac:dyDescent="0.15">
      <c r="A26" s="242"/>
      <c r="B26" s="81"/>
      <c r="C26" s="55" t="s">
        <v>81</v>
      </c>
      <c r="D26" s="56"/>
      <c r="E26" s="57">
        <v>5</v>
      </c>
      <c r="F26" s="58" t="s">
        <v>29</v>
      </c>
      <c r="G26" s="85"/>
      <c r="H26" s="89" t="s">
        <v>81</v>
      </c>
      <c r="I26" s="56"/>
      <c r="J26" s="58">
        <f>ROUNDUP(E26*0.75,2)</f>
        <v>3.75</v>
      </c>
      <c r="K26" s="58" t="s">
        <v>29</v>
      </c>
      <c r="L26" s="58"/>
      <c r="M26" s="58">
        <f>ROUNDUP((R5*E26)+(R6*J26)+(R7*(E26*2)),2)</f>
        <v>0</v>
      </c>
      <c r="N26" s="93">
        <f>ROUND(M26+(M26*10/100),2)</f>
        <v>0</v>
      </c>
      <c r="O26" s="81"/>
      <c r="P26" s="59" t="s">
        <v>59</v>
      </c>
      <c r="Q26" s="56"/>
      <c r="R26" s="60">
        <v>3</v>
      </c>
      <c r="S26" s="57">
        <f>ROUNDUP(R26*0.75,2)</f>
        <v>2.25</v>
      </c>
      <c r="T26" s="77">
        <f>ROUNDUP((R5*R26)+(R6*S26)+(R7*(R26*2)),2)</f>
        <v>0</v>
      </c>
    </row>
    <row r="27" spans="1:20" ht="18.75" customHeight="1" x14ac:dyDescent="0.15">
      <c r="A27" s="242"/>
      <c r="B27" s="82"/>
      <c r="C27" s="61"/>
      <c r="D27" s="62"/>
      <c r="E27" s="63"/>
      <c r="F27" s="64"/>
      <c r="G27" s="86"/>
      <c r="H27" s="90"/>
      <c r="I27" s="62"/>
      <c r="J27" s="64"/>
      <c r="K27" s="64"/>
      <c r="L27" s="64"/>
      <c r="M27" s="64"/>
      <c r="N27" s="94"/>
      <c r="O27" s="82"/>
      <c r="P27" s="65"/>
      <c r="Q27" s="62"/>
      <c r="R27" s="66"/>
      <c r="S27" s="63"/>
      <c r="T27" s="78"/>
    </row>
    <row r="28" spans="1:20" ht="18.75" customHeight="1" x14ac:dyDescent="0.15">
      <c r="A28" s="242"/>
      <c r="B28" s="81" t="s">
        <v>82</v>
      </c>
      <c r="C28" s="55" t="s">
        <v>83</v>
      </c>
      <c r="D28" s="56"/>
      <c r="E28" s="98">
        <v>0.16666666666666666</v>
      </c>
      <c r="F28" s="58" t="s">
        <v>38</v>
      </c>
      <c r="G28" s="85"/>
      <c r="H28" s="89" t="s">
        <v>83</v>
      </c>
      <c r="I28" s="56"/>
      <c r="J28" s="58">
        <f>ROUNDUP(E28*0.75,2)</f>
        <v>0.13</v>
      </c>
      <c r="K28" s="58" t="s">
        <v>38</v>
      </c>
      <c r="L28" s="58"/>
      <c r="M28" s="58">
        <f>ROUNDUP((R5*E28)+(R6*J28)+(R7*(E28*2)),2)</f>
        <v>0</v>
      </c>
      <c r="N28" s="93">
        <f>M28</f>
        <v>0</v>
      </c>
      <c r="O28" s="81" t="s">
        <v>61</v>
      </c>
      <c r="P28" s="59"/>
      <c r="Q28" s="56"/>
      <c r="R28" s="60"/>
      <c r="S28" s="57"/>
      <c r="T28" s="77"/>
    </row>
    <row r="29" spans="1:20" ht="18.75" customHeight="1" thickBot="1" x14ac:dyDescent="0.2">
      <c r="A29" s="243"/>
      <c r="B29" s="83"/>
      <c r="C29" s="68"/>
      <c r="D29" s="69"/>
      <c r="E29" s="70"/>
      <c r="F29" s="71"/>
      <c r="G29" s="87"/>
      <c r="H29" s="91"/>
      <c r="I29" s="69"/>
      <c r="J29" s="71"/>
      <c r="K29" s="71"/>
      <c r="L29" s="71"/>
      <c r="M29" s="71"/>
      <c r="N29" s="95"/>
      <c r="O29" s="83"/>
      <c r="P29" s="72"/>
      <c r="Q29" s="69"/>
      <c r="R29" s="73"/>
      <c r="S29" s="70"/>
      <c r="T29" s="79"/>
    </row>
  </sheetData>
  <mergeCells count="5">
    <mergeCell ref="H1:O1"/>
    <mergeCell ref="A2:T2"/>
    <mergeCell ref="Q3:T3"/>
    <mergeCell ref="A8:F8"/>
    <mergeCell ref="A10:A29"/>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331</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340</v>
      </c>
      <c r="I9" s="258" t="s">
        <v>341</v>
      </c>
      <c r="J9" s="259"/>
      <c r="K9" s="260"/>
      <c r="L9" s="261" t="s">
        <v>342</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350</v>
      </c>
      <c r="C13" s="132" t="s">
        <v>67</v>
      </c>
      <c r="D13" s="132"/>
      <c r="E13" s="56"/>
      <c r="F13" s="56"/>
      <c r="G13" s="132"/>
      <c r="H13" s="133">
        <v>0.1</v>
      </c>
      <c r="I13" s="132" t="s">
        <v>351</v>
      </c>
      <c r="J13" s="132" t="s">
        <v>67</v>
      </c>
      <c r="K13" s="133">
        <v>0.1</v>
      </c>
      <c r="L13" s="132" t="s">
        <v>352</v>
      </c>
      <c r="M13" s="132" t="s">
        <v>67</v>
      </c>
      <c r="N13" s="133">
        <v>0.1</v>
      </c>
      <c r="O13" s="134"/>
    </row>
    <row r="14" spans="1:21" ht="14.25" x14ac:dyDescent="0.15">
      <c r="A14" s="265"/>
      <c r="B14" s="132"/>
      <c r="C14" s="132" t="s">
        <v>69</v>
      </c>
      <c r="D14" s="132"/>
      <c r="E14" s="56"/>
      <c r="F14" s="56"/>
      <c r="G14" s="132"/>
      <c r="H14" s="135">
        <v>10</v>
      </c>
      <c r="I14" s="132"/>
      <c r="J14" s="136" t="s">
        <v>353</v>
      </c>
      <c r="K14" s="135">
        <v>5</v>
      </c>
      <c r="L14" s="132"/>
      <c r="M14" s="132" t="s">
        <v>56</v>
      </c>
      <c r="N14" s="135">
        <v>10</v>
      </c>
      <c r="O14" s="134"/>
    </row>
    <row r="15" spans="1:21" ht="14.25" x14ac:dyDescent="0.15">
      <c r="A15" s="265"/>
      <c r="B15" s="132"/>
      <c r="C15" s="132" t="s">
        <v>56</v>
      </c>
      <c r="D15" s="132"/>
      <c r="E15" s="56"/>
      <c r="F15" s="56"/>
      <c r="G15" s="132"/>
      <c r="H15" s="135">
        <v>10</v>
      </c>
      <c r="I15" s="132"/>
      <c r="J15" s="132" t="s">
        <v>56</v>
      </c>
      <c r="K15" s="135">
        <v>10</v>
      </c>
      <c r="L15" s="132"/>
      <c r="M15" s="132" t="s">
        <v>33</v>
      </c>
      <c r="N15" s="135">
        <v>5</v>
      </c>
      <c r="O15" s="134"/>
    </row>
    <row r="16" spans="1:21" ht="14.25" x14ac:dyDescent="0.15">
      <c r="A16" s="265"/>
      <c r="B16" s="132"/>
      <c r="C16" s="132" t="s">
        <v>33</v>
      </c>
      <c r="D16" s="132"/>
      <c r="E16" s="56"/>
      <c r="F16" s="56"/>
      <c r="G16" s="132"/>
      <c r="H16" s="135">
        <v>5</v>
      </c>
      <c r="I16" s="132"/>
      <c r="J16" s="132" t="s">
        <v>33</v>
      </c>
      <c r="K16" s="135">
        <v>5</v>
      </c>
      <c r="L16" s="132"/>
      <c r="M16" s="132" t="s">
        <v>70</v>
      </c>
      <c r="N16" s="135">
        <v>5</v>
      </c>
      <c r="O16" s="134"/>
    </row>
    <row r="17" spans="1:15" ht="14.25" x14ac:dyDescent="0.15">
      <c r="A17" s="265"/>
      <c r="B17" s="132"/>
      <c r="C17" s="132" t="s">
        <v>70</v>
      </c>
      <c r="D17" s="132"/>
      <c r="E17" s="56"/>
      <c r="F17" s="56"/>
      <c r="G17" s="132"/>
      <c r="H17" s="135">
        <v>5</v>
      </c>
      <c r="I17" s="132"/>
      <c r="J17" s="132" t="s">
        <v>70</v>
      </c>
      <c r="K17" s="135">
        <v>5</v>
      </c>
      <c r="L17" s="129"/>
      <c r="M17" s="129"/>
      <c r="N17" s="130"/>
      <c r="O17" s="131"/>
    </row>
    <row r="18" spans="1:15" ht="14.25" x14ac:dyDescent="0.15">
      <c r="A18" s="265"/>
      <c r="B18" s="132"/>
      <c r="C18" s="132"/>
      <c r="D18" s="132"/>
      <c r="E18" s="56"/>
      <c r="F18" s="56"/>
      <c r="G18" s="132" t="s">
        <v>25</v>
      </c>
      <c r="H18" s="135" t="s">
        <v>354</v>
      </c>
      <c r="I18" s="132"/>
      <c r="J18" s="132"/>
      <c r="K18" s="135"/>
      <c r="L18" s="132" t="s">
        <v>355</v>
      </c>
      <c r="M18" s="132" t="s">
        <v>76</v>
      </c>
      <c r="N18" s="135">
        <v>5</v>
      </c>
      <c r="O18" s="134"/>
    </row>
    <row r="19" spans="1:15" ht="14.25" x14ac:dyDescent="0.15">
      <c r="A19" s="265"/>
      <c r="B19" s="132"/>
      <c r="C19" s="132"/>
      <c r="D19" s="132"/>
      <c r="E19" s="56"/>
      <c r="F19" s="56"/>
      <c r="G19" s="132" t="s">
        <v>50</v>
      </c>
      <c r="H19" s="135" t="s">
        <v>356</v>
      </c>
      <c r="I19" s="132"/>
      <c r="J19" s="132"/>
      <c r="K19" s="135"/>
      <c r="L19" s="132"/>
      <c r="M19" s="132" t="s">
        <v>80</v>
      </c>
      <c r="N19" s="135">
        <v>5</v>
      </c>
      <c r="O19" s="134"/>
    </row>
    <row r="20" spans="1:15" ht="14.25" x14ac:dyDescent="0.15">
      <c r="A20" s="265"/>
      <c r="B20" s="132"/>
      <c r="C20" s="132"/>
      <c r="D20" s="132"/>
      <c r="E20" s="56"/>
      <c r="F20" s="56" t="s">
        <v>27</v>
      </c>
      <c r="G20" s="132" t="s">
        <v>26</v>
      </c>
      <c r="H20" s="135" t="s">
        <v>356</v>
      </c>
      <c r="I20" s="132"/>
      <c r="J20" s="132"/>
      <c r="K20" s="135"/>
      <c r="L20" s="129"/>
      <c r="M20" s="129"/>
      <c r="N20" s="130"/>
      <c r="O20" s="131"/>
    </row>
    <row r="21" spans="1:15" ht="14.25" x14ac:dyDescent="0.15">
      <c r="A21" s="265"/>
      <c r="B21" s="132"/>
      <c r="C21" s="132"/>
      <c r="D21" s="132"/>
      <c r="E21" s="56"/>
      <c r="F21" s="56"/>
      <c r="G21" s="132" t="s">
        <v>31</v>
      </c>
      <c r="H21" s="135" t="s">
        <v>356</v>
      </c>
      <c r="I21" s="132"/>
      <c r="J21" s="132"/>
      <c r="K21" s="135"/>
      <c r="L21" s="132" t="s">
        <v>82</v>
      </c>
      <c r="M21" s="132" t="s">
        <v>83</v>
      </c>
      <c r="N21" s="133">
        <v>0.1</v>
      </c>
      <c r="O21" s="134"/>
    </row>
    <row r="22" spans="1:15" ht="14.25" x14ac:dyDescent="0.15">
      <c r="A22" s="265"/>
      <c r="B22" s="129"/>
      <c r="C22" s="129"/>
      <c r="D22" s="129"/>
      <c r="E22" s="62"/>
      <c r="F22" s="62"/>
      <c r="G22" s="129"/>
      <c r="H22" s="130"/>
      <c r="I22" s="129"/>
      <c r="J22" s="129"/>
      <c r="K22" s="130"/>
      <c r="L22" s="132"/>
      <c r="M22" s="132"/>
      <c r="N22" s="135"/>
      <c r="O22" s="134"/>
    </row>
    <row r="23" spans="1:15" ht="14.25" x14ac:dyDescent="0.15">
      <c r="A23" s="265"/>
      <c r="B23" s="132" t="s">
        <v>357</v>
      </c>
      <c r="C23" s="132" t="s">
        <v>76</v>
      </c>
      <c r="D23" s="132"/>
      <c r="E23" s="56"/>
      <c r="F23" s="137"/>
      <c r="G23" s="132"/>
      <c r="H23" s="135">
        <v>20</v>
      </c>
      <c r="I23" s="132" t="s">
        <v>357</v>
      </c>
      <c r="J23" s="132" t="s">
        <v>76</v>
      </c>
      <c r="K23" s="135">
        <v>10</v>
      </c>
      <c r="L23" s="132"/>
      <c r="M23" s="132"/>
      <c r="N23" s="135"/>
      <c r="O23" s="134"/>
    </row>
    <row r="24" spans="1:15" ht="14.25" x14ac:dyDescent="0.15">
      <c r="A24" s="265"/>
      <c r="B24" s="129"/>
      <c r="C24" s="129"/>
      <c r="D24" s="129"/>
      <c r="E24" s="62"/>
      <c r="F24" s="62"/>
      <c r="G24" s="129"/>
      <c r="H24" s="130"/>
      <c r="I24" s="129"/>
      <c r="J24" s="129"/>
      <c r="K24" s="130"/>
      <c r="L24" s="132"/>
      <c r="M24" s="132"/>
      <c r="N24" s="135"/>
      <c r="O24" s="134"/>
    </row>
    <row r="25" spans="1:15" ht="14.25" x14ac:dyDescent="0.15">
      <c r="A25" s="265"/>
      <c r="B25" s="132" t="s">
        <v>58</v>
      </c>
      <c r="C25" s="132" t="s">
        <v>80</v>
      </c>
      <c r="D25" s="132"/>
      <c r="E25" s="56"/>
      <c r="F25" s="56"/>
      <c r="G25" s="132"/>
      <c r="H25" s="135">
        <v>10</v>
      </c>
      <c r="I25" s="132" t="s">
        <v>58</v>
      </c>
      <c r="J25" s="132" t="s">
        <v>80</v>
      </c>
      <c r="K25" s="135">
        <v>10</v>
      </c>
      <c r="L25" s="132"/>
      <c r="M25" s="132"/>
      <c r="N25" s="135"/>
      <c r="O25" s="134"/>
    </row>
    <row r="26" spans="1:15" ht="14.25" x14ac:dyDescent="0.15">
      <c r="A26" s="265"/>
      <c r="B26" s="132"/>
      <c r="C26" s="132" t="s">
        <v>81</v>
      </c>
      <c r="D26" s="132"/>
      <c r="E26" s="56"/>
      <c r="F26" s="56"/>
      <c r="G26" s="132"/>
      <c r="H26" s="135">
        <v>5</v>
      </c>
      <c r="I26" s="132"/>
      <c r="J26" s="132"/>
      <c r="K26" s="135"/>
      <c r="L26" s="132"/>
      <c r="M26" s="132"/>
      <c r="N26" s="135"/>
      <c r="O26" s="134"/>
    </row>
    <row r="27" spans="1:15" ht="14.25" x14ac:dyDescent="0.15">
      <c r="A27" s="265"/>
      <c r="B27" s="132"/>
      <c r="C27" s="132"/>
      <c r="D27" s="132"/>
      <c r="E27" s="56"/>
      <c r="F27" s="56"/>
      <c r="G27" s="132" t="s">
        <v>25</v>
      </c>
      <c r="H27" s="135" t="s">
        <v>354</v>
      </c>
      <c r="I27" s="132"/>
      <c r="J27" s="132"/>
      <c r="K27" s="135"/>
      <c r="L27" s="132"/>
      <c r="M27" s="132"/>
      <c r="N27" s="135"/>
      <c r="O27" s="134"/>
    </row>
    <row r="28" spans="1:15" ht="14.25" x14ac:dyDescent="0.15">
      <c r="A28" s="265"/>
      <c r="B28" s="132"/>
      <c r="C28" s="132"/>
      <c r="D28" s="132"/>
      <c r="E28" s="56"/>
      <c r="F28" s="56"/>
      <c r="G28" s="132" t="s">
        <v>59</v>
      </c>
      <c r="H28" s="135" t="s">
        <v>356</v>
      </c>
      <c r="I28" s="129"/>
      <c r="J28" s="129"/>
      <c r="K28" s="130"/>
      <c r="L28" s="132"/>
      <c r="M28" s="132"/>
      <c r="N28" s="135"/>
      <c r="O28" s="134"/>
    </row>
    <row r="29" spans="1:15" ht="14.25" x14ac:dyDescent="0.15">
      <c r="A29" s="265"/>
      <c r="B29" s="129"/>
      <c r="C29" s="129"/>
      <c r="D29" s="129"/>
      <c r="E29" s="62"/>
      <c r="F29" s="62"/>
      <c r="G29" s="129"/>
      <c r="H29" s="130"/>
      <c r="I29" s="132" t="s">
        <v>82</v>
      </c>
      <c r="J29" s="132" t="s">
        <v>83</v>
      </c>
      <c r="K29" s="138">
        <v>0.13</v>
      </c>
      <c r="L29" s="132"/>
      <c r="M29" s="132"/>
      <c r="N29" s="135"/>
      <c r="O29" s="134"/>
    </row>
    <row r="30" spans="1:15" ht="14.25" x14ac:dyDescent="0.15">
      <c r="A30" s="265"/>
      <c r="B30" s="132" t="s">
        <v>82</v>
      </c>
      <c r="C30" s="132" t="s">
        <v>83</v>
      </c>
      <c r="D30" s="132"/>
      <c r="E30" s="56"/>
      <c r="F30" s="56"/>
      <c r="G30" s="132"/>
      <c r="H30" s="138">
        <v>0.13</v>
      </c>
      <c r="I30" s="132"/>
      <c r="J30" s="132"/>
      <c r="K30" s="135"/>
      <c r="L30" s="132"/>
      <c r="M30" s="132"/>
      <c r="N30" s="135"/>
      <c r="O30" s="134"/>
    </row>
    <row r="31" spans="1:15" ht="15" thickBot="1" x14ac:dyDescent="0.2">
      <c r="A31" s="266"/>
      <c r="B31" s="139"/>
      <c r="C31" s="139"/>
      <c r="D31" s="139"/>
      <c r="E31" s="69"/>
      <c r="F31" s="69"/>
      <c r="G31" s="139"/>
      <c r="H31" s="140"/>
      <c r="I31" s="139"/>
      <c r="J31" s="139"/>
      <c r="K31" s="140"/>
      <c r="L31" s="139"/>
      <c r="M31" s="139"/>
      <c r="N31" s="140"/>
      <c r="O31" s="141"/>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sheetData>
  <mergeCells count="15">
    <mergeCell ref="L8:N8"/>
    <mergeCell ref="O8:O10"/>
    <mergeCell ref="I9:K9"/>
    <mergeCell ref="L9:N9"/>
    <mergeCell ref="A11:A31"/>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436</v>
      </c>
      <c r="B7" s="249"/>
      <c r="C7" s="249"/>
      <c r="D7" s="114"/>
      <c r="E7" s="250" t="s">
        <v>332</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350</v>
      </c>
      <c r="C13" s="132" t="s">
        <v>67</v>
      </c>
      <c r="D13" s="132"/>
      <c r="E13" s="56"/>
      <c r="F13" s="56"/>
      <c r="G13" s="132"/>
      <c r="H13" s="133">
        <v>0.1</v>
      </c>
      <c r="I13" s="132" t="s">
        <v>351</v>
      </c>
      <c r="J13" s="132" t="s">
        <v>67</v>
      </c>
      <c r="K13" s="133">
        <v>0.1</v>
      </c>
      <c r="L13" s="132" t="s">
        <v>352</v>
      </c>
      <c r="M13" s="132" t="s">
        <v>67</v>
      </c>
      <c r="N13" s="133">
        <v>0.1</v>
      </c>
      <c r="O13" s="134"/>
    </row>
    <row r="14" spans="1:21" ht="14.25" x14ac:dyDescent="0.15">
      <c r="A14" s="265"/>
      <c r="B14" s="132"/>
      <c r="C14" s="132" t="s">
        <v>69</v>
      </c>
      <c r="D14" s="132"/>
      <c r="E14" s="56"/>
      <c r="F14" s="56"/>
      <c r="G14" s="132"/>
      <c r="H14" s="135">
        <v>10</v>
      </c>
      <c r="I14" s="132"/>
      <c r="J14" s="136" t="s">
        <v>353</v>
      </c>
      <c r="K14" s="135">
        <v>5</v>
      </c>
      <c r="L14" s="132"/>
      <c r="M14" s="132" t="s">
        <v>56</v>
      </c>
      <c r="N14" s="135">
        <v>10</v>
      </c>
      <c r="O14" s="134"/>
    </row>
    <row r="15" spans="1:21" ht="14.25" x14ac:dyDescent="0.15">
      <c r="A15" s="265"/>
      <c r="B15" s="132"/>
      <c r="C15" s="132" t="s">
        <v>56</v>
      </c>
      <c r="D15" s="132"/>
      <c r="E15" s="56"/>
      <c r="F15" s="56"/>
      <c r="G15" s="132"/>
      <c r="H15" s="135">
        <v>10</v>
      </c>
      <c r="I15" s="132"/>
      <c r="J15" s="132" t="s">
        <v>56</v>
      </c>
      <c r="K15" s="135">
        <v>10</v>
      </c>
      <c r="L15" s="132"/>
      <c r="M15" s="132" t="s">
        <v>33</v>
      </c>
      <c r="N15" s="135">
        <v>5</v>
      </c>
      <c r="O15" s="134"/>
    </row>
    <row r="16" spans="1:21" ht="14.25" x14ac:dyDescent="0.15">
      <c r="A16" s="265"/>
      <c r="B16" s="132"/>
      <c r="C16" s="132" t="s">
        <v>33</v>
      </c>
      <c r="D16" s="132"/>
      <c r="E16" s="56"/>
      <c r="F16" s="56"/>
      <c r="G16" s="132"/>
      <c r="H16" s="135">
        <v>5</v>
      </c>
      <c r="I16" s="132"/>
      <c r="J16" s="132" t="s">
        <v>33</v>
      </c>
      <c r="K16" s="135">
        <v>5</v>
      </c>
      <c r="L16" s="132"/>
      <c r="M16" s="132" t="s">
        <v>70</v>
      </c>
      <c r="N16" s="135">
        <v>5</v>
      </c>
      <c r="O16" s="134"/>
    </row>
    <row r="17" spans="1:15" ht="14.25" x14ac:dyDescent="0.15">
      <c r="A17" s="265"/>
      <c r="B17" s="132"/>
      <c r="C17" s="132" t="s">
        <v>70</v>
      </c>
      <c r="D17" s="132"/>
      <c r="E17" s="56"/>
      <c r="F17" s="56"/>
      <c r="G17" s="132"/>
      <c r="H17" s="135">
        <v>5</v>
      </c>
      <c r="I17" s="132"/>
      <c r="J17" s="132" t="s">
        <v>70</v>
      </c>
      <c r="K17" s="135">
        <v>5</v>
      </c>
      <c r="L17" s="129"/>
      <c r="M17" s="129"/>
      <c r="N17" s="130"/>
      <c r="O17" s="131"/>
    </row>
    <row r="18" spans="1:15" ht="14.25" x14ac:dyDescent="0.15">
      <c r="A18" s="265"/>
      <c r="B18" s="132"/>
      <c r="C18" s="132"/>
      <c r="D18" s="132"/>
      <c r="E18" s="56"/>
      <c r="F18" s="56"/>
      <c r="G18" s="132" t="s">
        <v>25</v>
      </c>
      <c r="H18" s="135" t="s">
        <v>354</v>
      </c>
      <c r="I18" s="132"/>
      <c r="J18" s="132"/>
      <c r="K18" s="135"/>
      <c r="L18" s="132" t="s">
        <v>355</v>
      </c>
      <c r="M18" s="132" t="s">
        <v>76</v>
      </c>
      <c r="N18" s="135">
        <v>5</v>
      </c>
      <c r="O18" s="134"/>
    </row>
    <row r="19" spans="1:15" ht="14.25" x14ac:dyDescent="0.15">
      <c r="A19" s="265"/>
      <c r="B19" s="132"/>
      <c r="C19" s="132"/>
      <c r="D19" s="132"/>
      <c r="E19" s="56"/>
      <c r="F19" s="56"/>
      <c r="G19" s="132" t="s">
        <v>50</v>
      </c>
      <c r="H19" s="135" t="s">
        <v>356</v>
      </c>
      <c r="I19" s="132"/>
      <c r="J19" s="132"/>
      <c r="K19" s="135"/>
      <c r="L19" s="132"/>
      <c r="M19" s="132" t="s">
        <v>80</v>
      </c>
      <c r="N19" s="135">
        <v>5</v>
      </c>
      <c r="O19" s="134"/>
    </row>
    <row r="20" spans="1:15" ht="14.25" x14ac:dyDescent="0.15">
      <c r="A20" s="265"/>
      <c r="B20" s="132"/>
      <c r="C20" s="132"/>
      <c r="D20" s="132"/>
      <c r="E20" s="56"/>
      <c r="F20" s="56" t="s">
        <v>27</v>
      </c>
      <c r="G20" s="132" t="s">
        <v>26</v>
      </c>
      <c r="H20" s="135" t="s">
        <v>356</v>
      </c>
      <c r="I20" s="132"/>
      <c r="J20" s="132"/>
      <c r="K20" s="135"/>
      <c r="L20" s="129"/>
      <c r="M20" s="129"/>
      <c r="N20" s="130"/>
      <c r="O20" s="131"/>
    </row>
    <row r="21" spans="1:15" ht="14.25" x14ac:dyDescent="0.15">
      <c r="A21" s="265"/>
      <c r="B21" s="132"/>
      <c r="C21" s="132"/>
      <c r="D21" s="132"/>
      <c r="E21" s="56"/>
      <c r="F21" s="56"/>
      <c r="G21" s="132" t="s">
        <v>31</v>
      </c>
      <c r="H21" s="135" t="s">
        <v>356</v>
      </c>
      <c r="I21" s="132"/>
      <c r="J21" s="132"/>
      <c r="K21" s="135"/>
      <c r="L21" s="132" t="s">
        <v>82</v>
      </c>
      <c r="M21" s="132" t="s">
        <v>83</v>
      </c>
      <c r="N21" s="133">
        <v>0.1</v>
      </c>
      <c r="O21" s="134"/>
    </row>
    <row r="22" spans="1:15" ht="14.25" x14ac:dyDescent="0.15">
      <c r="A22" s="265"/>
      <c r="B22" s="129"/>
      <c r="C22" s="129"/>
      <c r="D22" s="129"/>
      <c r="E22" s="62"/>
      <c r="F22" s="62"/>
      <c r="G22" s="129"/>
      <c r="H22" s="130"/>
      <c r="I22" s="129"/>
      <c r="J22" s="129"/>
      <c r="K22" s="130"/>
      <c r="L22" s="132"/>
      <c r="M22" s="132"/>
      <c r="N22" s="135"/>
      <c r="O22" s="134"/>
    </row>
    <row r="23" spans="1:15" ht="14.25" x14ac:dyDescent="0.15">
      <c r="A23" s="265"/>
      <c r="B23" s="132" t="s">
        <v>357</v>
      </c>
      <c r="C23" s="132" t="s">
        <v>76</v>
      </c>
      <c r="D23" s="132"/>
      <c r="E23" s="56"/>
      <c r="F23" s="137"/>
      <c r="G23" s="132"/>
      <c r="H23" s="135">
        <v>20</v>
      </c>
      <c r="I23" s="132" t="s">
        <v>357</v>
      </c>
      <c r="J23" s="132" t="s">
        <v>76</v>
      </c>
      <c r="K23" s="135">
        <v>10</v>
      </c>
      <c r="L23" s="132"/>
      <c r="M23" s="132"/>
      <c r="N23" s="135"/>
      <c r="O23" s="134"/>
    </row>
    <row r="24" spans="1:15" ht="14.25" x14ac:dyDescent="0.15">
      <c r="A24" s="265"/>
      <c r="B24" s="129"/>
      <c r="C24" s="129"/>
      <c r="D24" s="129"/>
      <c r="E24" s="62"/>
      <c r="F24" s="62"/>
      <c r="G24" s="129"/>
      <c r="H24" s="130"/>
      <c r="I24" s="129"/>
      <c r="J24" s="129"/>
      <c r="K24" s="130"/>
      <c r="L24" s="132"/>
      <c r="M24" s="132"/>
      <c r="N24" s="135"/>
      <c r="O24" s="134"/>
    </row>
    <row r="25" spans="1:15" ht="14.25" x14ac:dyDescent="0.15">
      <c r="A25" s="265"/>
      <c r="B25" s="132" t="s">
        <v>58</v>
      </c>
      <c r="C25" s="132" t="s">
        <v>80</v>
      </c>
      <c r="D25" s="132"/>
      <c r="E25" s="56"/>
      <c r="F25" s="56"/>
      <c r="G25" s="132"/>
      <c r="H25" s="135">
        <v>10</v>
      </c>
      <c r="I25" s="132" t="s">
        <v>58</v>
      </c>
      <c r="J25" s="132" t="s">
        <v>80</v>
      </c>
      <c r="K25" s="135">
        <v>10</v>
      </c>
      <c r="L25" s="132"/>
      <c r="M25" s="132"/>
      <c r="N25" s="135"/>
      <c r="O25" s="134"/>
    </row>
    <row r="26" spans="1:15" ht="14.25" x14ac:dyDescent="0.15">
      <c r="A26" s="265"/>
      <c r="B26" s="132"/>
      <c r="C26" s="132" t="s">
        <v>81</v>
      </c>
      <c r="D26" s="132"/>
      <c r="E26" s="56"/>
      <c r="F26" s="56"/>
      <c r="G26" s="132"/>
      <c r="H26" s="135">
        <v>5</v>
      </c>
      <c r="I26" s="132"/>
      <c r="J26" s="132"/>
      <c r="K26" s="135"/>
      <c r="L26" s="132"/>
      <c r="M26" s="132"/>
      <c r="N26" s="135"/>
      <c r="O26" s="134"/>
    </row>
    <row r="27" spans="1:15" ht="14.25" x14ac:dyDescent="0.15">
      <c r="A27" s="265"/>
      <c r="B27" s="132"/>
      <c r="C27" s="132"/>
      <c r="D27" s="132"/>
      <c r="E27" s="56"/>
      <c r="F27" s="56"/>
      <c r="G27" s="132" t="s">
        <v>25</v>
      </c>
      <c r="H27" s="135" t="s">
        <v>354</v>
      </c>
      <c r="I27" s="132"/>
      <c r="J27" s="132"/>
      <c r="K27" s="135"/>
      <c r="L27" s="132"/>
      <c r="M27" s="132"/>
      <c r="N27" s="135"/>
      <c r="O27" s="134"/>
    </row>
    <row r="28" spans="1:15" ht="14.25" x14ac:dyDescent="0.15">
      <c r="A28" s="265"/>
      <c r="B28" s="132"/>
      <c r="C28" s="132"/>
      <c r="D28" s="132"/>
      <c r="E28" s="56"/>
      <c r="F28" s="56"/>
      <c r="G28" s="132" t="s">
        <v>59</v>
      </c>
      <c r="H28" s="135" t="s">
        <v>356</v>
      </c>
      <c r="I28" s="129"/>
      <c r="J28" s="129"/>
      <c r="K28" s="130"/>
      <c r="L28" s="132"/>
      <c r="M28" s="132"/>
      <c r="N28" s="135"/>
      <c r="O28" s="134"/>
    </row>
    <row r="29" spans="1:15" ht="14.25" x14ac:dyDescent="0.15">
      <c r="A29" s="265"/>
      <c r="B29" s="129"/>
      <c r="C29" s="129"/>
      <c r="D29" s="129"/>
      <c r="E29" s="62"/>
      <c r="F29" s="62"/>
      <c r="G29" s="129"/>
      <c r="H29" s="130"/>
      <c r="I29" s="132" t="s">
        <v>82</v>
      </c>
      <c r="J29" s="132" t="s">
        <v>83</v>
      </c>
      <c r="K29" s="138">
        <v>0.13</v>
      </c>
      <c r="L29" s="132"/>
      <c r="M29" s="132"/>
      <c r="N29" s="135"/>
      <c r="O29" s="134"/>
    </row>
    <row r="30" spans="1:15" ht="14.25" x14ac:dyDescent="0.15">
      <c r="A30" s="265"/>
      <c r="B30" s="132" t="s">
        <v>82</v>
      </c>
      <c r="C30" s="132" t="s">
        <v>83</v>
      </c>
      <c r="D30" s="132"/>
      <c r="E30" s="56"/>
      <c r="F30" s="56"/>
      <c r="G30" s="132"/>
      <c r="H30" s="138">
        <v>0.13</v>
      </c>
      <c r="I30" s="132"/>
      <c r="J30" s="132"/>
      <c r="K30" s="135"/>
      <c r="L30" s="132"/>
      <c r="M30" s="132"/>
      <c r="N30" s="135"/>
      <c r="O30" s="134"/>
    </row>
    <row r="31" spans="1:15" ht="15" thickBot="1" x14ac:dyDescent="0.2">
      <c r="A31" s="266"/>
      <c r="B31" s="139"/>
      <c r="C31" s="139"/>
      <c r="D31" s="139"/>
      <c r="E31" s="69"/>
      <c r="F31" s="69"/>
      <c r="G31" s="139"/>
      <c r="H31" s="140"/>
      <c r="I31" s="139"/>
      <c r="J31" s="139"/>
      <c r="K31" s="140"/>
      <c r="L31" s="139"/>
      <c r="M31" s="139"/>
      <c r="N31" s="140"/>
      <c r="O31" s="141"/>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row r="35" spans="2:14" ht="14.25" x14ac:dyDescent="0.15">
      <c r="B35" s="105"/>
      <c r="C35" s="105"/>
      <c r="D35" s="105"/>
      <c r="G35" s="105"/>
      <c r="H35" s="142"/>
      <c r="I35" s="105"/>
      <c r="J35" s="105"/>
      <c r="K35" s="142"/>
      <c r="L35" s="105"/>
      <c r="M35" s="105"/>
      <c r="N35" s="142"/>
    </row>
    <row r="36" spans="2:14" ht="14.25" x14ac:dyDescent="0.15">
      <c r="B36" s="105"/>
      <c r="C36" s="105"/>
      <c r="D36" s="105"/>
      <c r="G36" s="105"/>
      <c r="H36" s="142"/>
      <c r="I36" s="105"/>
      <c r="J36" s="105"/>
      <c r="K36" s="142"/>
      <c r="L36" s="105"/>
      <c r="M36" s="105"/>
      <c r="N36" s="142"/>
    </row>
    <row r="37" spans="2:14" ht="14.25" x14ac:dyDescent="0.15">
      <c r="B37" s="105"/>
      <c r="C37" s="105"/>
      <c r="D37" s="105"/>
      <c r="G37" s="105"/>
      <c r="H37" s="142"/>
      <c r="I37" s="105"/>
      <c r="J37" s="105"/>
      <c r="K37" s="142"/>
      <c r="L37" s="105"/>
      <c r="M37" s="105"/>
      <c r="N37" s="142"/>
    </row>
    <row r="38" spans="2:14" ht="14.25" x14ac:dyDescent="0.15">
      <c r="B38" s="105"/>
      <c r="C38" s="105"/>
      <c r="D38" s="105"/>
      <c r="G38" s="105"/>
      <c r="H38" s="142"/>
      <c r="I38" s="105"/>
      <c r="J38" s="105"/>
      <c r="K38" s="142"/>
      <c r="L38" s="105"/>
      <c r="M38" s="105"/>
      <c r="N38" s="142"/>
    </row>
    <row r="39" spans="2:14" ht="14.25" x14ac:dyDescent="0.15">
      <c r="B39" s="105"/>
      <c r="C39" s="105"/>
      <c r="D39" s="105"/>
      <c r="G39" s="105"/>
      <c r="H39" s="142"/>
      <c r="I39" s="105"/>
      <c r="J39" s="105"/>
      <c r="K39" s="142"/>
      <c r="L39" s="105"/>
      <c r="M39" s="105"/>
      <c r="N39" s="142"/>
    </row>
    <row r="40" spans="2:14" ht="14.25" x14ac:dyDescent="0.15">
      <c r="B40" s="105"/>
      <c r="C40" s="105"/>
      <c r="D40" s="105"/>
      <c r="G40" s="105"/>
      <c r="H40" s="142"/>
      <c r="I40" s="105"/>
      <c r="J40" s="105"/>
      <c r="K40" s="142"/>
      <c r="L40" s="105"/>
      <c r="M40" s="105"/>
      <c r="N40" s="142"/>
    </row>
    <row r="41" spans="2:14" ht="14.25" x14ac:dyDescent="0.15">
      <c r="B41" s="105"/>
      <c r="C41" s="105"/>
      <c r="D41" s="105"/>
      <c r="G41" s="105"/>
      <c r="H41" s="142"/>
      <c r="I41" s="105"/>
      <c r="J41" s="105"/>
      <c r="K41" s="142"/>
      <c r="L41" s="105"/>
      <c r="M41" s="105"/>
      <c r="N41" s="142"/>
    </row>
    <row r="42" spans="2:14" ht="14.25" x14ac:dyDescent="0.15">
      <c r="B42" s="105"/>
      <c r="C42" s="105"/>
      <c r="D42" s="105"/>
      <c r="G42" s="105"/>
      <c r="H42" s="142"/>
      <c r="I42" s="105"/>
      <c r="J42" s="105"/>
      <c r="K42" s="142"/>
      <c r="L42" s="105"/>
      <c r="M42" s="105"/>
      <c r="N42" s="142"/>
    </row>
    <row r="43" spans="2:14" ht="14.25" x14ac:dyDescent="0.15">
      <c r="B43" s="105"/>
      <c r="C43" s="105"/>
      <c r="D43" s="105"/>
      <c r="G43" s="105"/>
      <c r="H43" s="142"/>
      <c r="I43" s="105"/>
      <c r="J43" s="105"/>
      <c r="K43" s="142"/>
      <c r="L43" s="105"/>
      <c r="M43" s="105"/>
      <c r="N43" s="142"/>
    </row>
    <row r="44" spans="2:14" ht="14.25" x14ac:dyDescent="0.15">
      <c r="B44" s="105"/>
      <c r="C44" s="105"/>
      <c r="D44" s="105"/>
      <c r="G44" s="105"/>
      <c r="H44" s="142"/>
      <c r="I44" s="105"/>
      <c r="J44" s="105"/>
      <c r="K44" s="142"/>
      <c r="L44" s="105"/>
      <c r="M44" s="105"/>
      <c r="N44" s="142"/>
    </row>
    <row r="45" spans="2:14" ht="14.25" x14ac:dyDescent="0.15">
      <c r="B45" s="105"/>
      <c r="C45" s="105"/>
      <c r="D45" s="105"/>
      <c r="G45" s="105"/>
      <c r="H45" s="142"/>
      <c r="I45" s="105"/>
      <c r="J45" s="105"/>
      <c r="K45" s="142"/>
      <c r="L45" s="105"/>
      <c r="M45" s="105"/>
      <c r="N45" s="142"/>
    </row>
    <row r="46" spans="2:14" ht="14.25" x14ac:dyDescent="0.15">
      <c r="B46" s="105"/>
      <c r="C46" s="105"/>
      <c r="D46" s="105"/>
      <c r="G46" s="105"/>
      <c r="H46" s="142"/>
      <c r="I46" s="105"/>
      <c r="J46" s="105"/>
      <c r="K46" s="142"/>
      <c r="L46" s="105"/>
      <c r="M46" s="105"/>
      <c r="N46" s="142"/>
    </row>
    <row r="47" spans="2:14" ht="14.25" x14ac:dyDescent="0.15">
      <c r="B47" s="105"/>
      <c r="C47" s="105"/>
      <c r="D47" s="105"/>
      <c r="G47" s="105"/>
      <c r="H47" s="142"/>
      <c r="I47" s="105"/>
      <c r="J47" s="105"/>
      <c r="K47" s="142"/>
      <c r="L47" s="105"/>
      <c r="M47" s="105"/>
      <c r="N47" s="142"/>
    </row>
    <row r="48" spans="2:14" ht="14.25" x14ac:dyDescent="0.15">
      <c r="B48" s="105"/>
      <c r="C48" s="105"/>
      <c r="D48" s="105"/>
      <c r="G48" s="105"/>
      <c r="H48" s="142"/>
      <c r="I48" s="105"/>
      <c r="J48" s="105"/>
      <c r="K48" s="142"/>
      <c r="L48" s="105"/>
      <c r="M48" s="105"/>
      <c r="N48" s="142"/>
    </row>
    <row r="49" spans="2:14" ht="14.25" x14ac:dyDescent="0.15">
      <c r="B49" s="105"/>
      <c r="C49" s="105"/>
      <c r="D49" s="105"/>
      <c r="G49" s="105"/>
      <c r="H49" s="142"/>
      <c r="I49" s="105"/>
      <c r="J49" s="105"/>
      <c r="K49" s="142"/>
      <c r="L49" s="105"/>
      <c r="M49" s="105"/>
      <c r="N49" s="142"/>
    </row>
    <row r="50" spans="2:14" ht="14.25" x14ac:dyDescent="0.15">
      <c r="B50" s="105"/>
      <c r="C50" s="105"/>
      <c r="D50" s="105"/>
      <c r="G50" s="105"/>
      <c r="H50" s="142"/>
      <c r="I50" s="105"/>
      <c r="J50" s="105"/>
      <c r="K50" s="142"/>
      <c r="L50" s="105"/>
      <c r="M50" s="105"/>
      <c r="N50" s="142"/>
    </row>
    <row r="51" spans="2:14" ht="14.25" x14ac:dyDescent="0.15">
      <c r="B51" s="105"/>
      <c r="C51" s="105"/>
      <c r="D51" s="105"/>
      <c r="G51" s="105"/>
      <c r="H51" s="142"/>
      <c r="I51" s="105"/>
      <c r="J51" s="105"/>
      <c r="K51" s="142"/>
      <c r="L51" s="105"/>
      <c r="M51" s="105"/>
      <c r="N51" s="142"/>
    </row>
    <row r="52" spans="2:14" ht="14.25" x14ac:dyDescent="0.15">
      <c r="B52" s="105"/>
      <c r="C52" s="105"/>
      <c r="D52" s="105"/>
      <c r="G52" s="105"/>
      <c r="H52" s="142"/>
      <c r="I52" s="105"/>
      <c r="J52" s="105"/>
      <c r="K52" s="142"/>
      <c r="L52" s="105"/>
      <c r="M52" s="105"/>
      <c r="N52" s="142"/>
    </row>
    <row r="53" spans="2:14" ht="14.25" x14ac:dyDescent="0.15">
      <c r="B53" s="105"/>
      <c r="C53" s="105"/>
      <c r="D53" s="105"/>
      <c r="G53" s="105"/>
      <c r="H53" s="142"/>
      <c r="I53" s="105"/>
      <c r="J53" s="105"/>
      <c r="K53" s="142"/>
      <c r="L53" s="105"/>
      <c r="M53" s="105"/>
      <c r="N53" s="142"/>
    </row>
    <row r="54" spans="2:14" ht="14.25" x14ac:dyDescent="0.15">
      <c r="B54" s="105"/>
      <c r="C54" s="105"/>
      <c r="D54" s="105"/>
      <c r="G54" s="105"/>
      <c r="H54" s="142"/>
      <c r="I54" s="105"/>
      <c r="J54" s="105"/>
      <c r="K54" s="142"/>
      <c r="L54" s="105"/>
      <c r="M54" s="105"/>
      <c r="N54" s="142"/>
    </row>
    <row r="55" spans="2:14" ht="14.25" x14ac:dyDescent="0.15">
      <c r="B55" s="105"/>
      <c r="C55" s="105"/>
      <c r="D55" s="105"/>
      <c r="G55" s="105"/>
      <c r="H55" s="142"/>
      <c r="I55" s="105"/>
      <c r="J55" s="105"/>
      <c r="K55" s="142"/>
      <c r="L55" s="105"/>
      <c r="M55" s="105"/>
      <c r="N55" s="142"/>
    </row>
    <row r="56" spans="2:14" ht="14.25" x14ac:dyDescent="0.15">
      <c r="B56" s="105"/>
      <c r="C56" s="105"/>
      <c r="D56" s="105"/>
      <c r="G56" s="105"/>
      <c r="H56" s="142"/>
      <c r="I56" s="105"/>
      <c r="J56" s="105"/>
      <c r="K56" s="142"/>
      <c r="L56" s="105"/>
      <c r="M56" s="105"/>
      <c r="N56" s="142"/>
    </row>
    <row r="57" spans="2:14" ht="14.25" x14ac:dyDescent="0.15">
      <c r="B57" s="105"/>
      <c r="C57" s="105"/>
      <c r="D57" s="105"/>
      <c r="G57" s="105"/>
      <c r="H57" s="142"/>
      <c r="I57" s="105"/>
      <c r="J57" s="105"/>
      <c r="K57" s="142"/>
      <c r="L57" s="105"/>
      <c r="M57" s="105"/>
      <c r="N57" s="142"/>
    </row>
    <row r="58" spans="2:14" ht="14.25" x14ac:dyDescent="0.15">
      <c r="B58" s="105"/>
      <c r="C58" s="105"/>
      <c r="D58" s="105"/>
      <c r="G58" s="105"/>
      <c r="H58" s="142"/>
      <c r="I58" s="105"/>
      <c r="J58" s="105"/>
      <c r="K58" s="142"/>
      <c r="L58" s="105"/>
      <c r="M58" s="105"/>
      <c r="N58" s="142"/>
    </row>
    <row r="59" spans="2:14" ht="14.25" x14ac:dyDescent="0.15">
      <c r="B59" s="105"/>
      <c r="C59" s="105"/>
      <c r="D59" s="105"/>
      <c r="G59" s="105"/>
      <c r="H59" s="142"/>
      <c r="I59" s="105"/>
      <c r="J59" s="105"/>
      <c r="K59" s="142"/>
      <c r="L59" s="105"/>
      <c r="M59" s="105"/>
      <c r="N59" s="142"/>
    </row>
    <row r="60" spans="2:14" ht="14.25" x14ac:dyDescent="0.15">
      <c r="B60" s="105"/>
      <c r="C60" s="105"/>
      <c r="D60" s="105"/>
      <c r="G60" s="105"/>
      <c r="H60" s="142"/>
      <c r="I60" s="105"/>
      <c r="J60" s="105"/>
      <c r="K60" s="142"/>
      <c r="L60" s="105"/>
      <c r="M60" s="105"/>
      <c r="N60" s="142"/>
    </row>
    <row r="61" spans="2:14" ht="14.25" x14ac:dyDescent="0.15">
      <c r="B61" s="105"/>
      <c r="C61" s="105"/>
      <c r="D61" s="105"/>
      <c r="G61" s="105"/>
      <c r="H61" s="142"/>
      <c r="I61" s="105"/>
      <c r="J61" s="105"/>
      <c r="K61" s="142"/>
      <c r="L61" s="105"/>
      <c r="M61" s="105"/>
      <c r="N61" s="142"/>
    </row>
    <row r="62" spans="2:14" ht="14.25" x14ac:dyDescent="0.15">
      <c r="B62" s="105"/>
      <c r="C62" s="105"/>
      <c r="D62" s="105"/>
      <c r="G62" s="105"/>
      <c r="H62" s="142"/>
      <c r="I62" s="105"/>
      <c r="J62" s="105"/>
      <c r="K62" s="142"/>
      <c r="L62" s="105"/>
      <c r="M62" s="105"/>
      <c r="N62" s="142"/>
    </row>
    <row r="63" spans="2:14" ht="14.25" x14ac:dyDescent="0.15">
      <c r="B63" s="105"/>
      <c r="C63" s="105"/>
      <c r="D63" s="105"/>
      <c r="G63" s="105"/>
      <c r="H63" s="142"/>
      <c r="I63" s="105"/>
      <c r="J63" s="105"/>
      <c r="K63" s="142"/>
      <c r="L63" s="105"/>
      <c r="M63" s="105"/>
      <c r="N63" s="142"/>
    </row>
  </sheetData>
  <mergeCells count="15">
    <mergeCell ref="L8:N8"/>
    <mergeCell ref="O8:O10"/>
    <mergeCell ref="I9:K9"/>
    <mergeCell ref="L9:N9"/>
    <mergeCell ref="A11:A31"/>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114</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115</v>
      </c>
      <c r="C10" s="48" t="s">
        <v>116</v>
      </c>
      <c r="D10" s="49" t="s">
        <v>117</v>
      </c>
      <c r="E10" s="50">
        <v>0.5</v>
      </c>
      <c r="F10" s="51" t="s">
        <v>24</v>
      </c>
      <c r="G10" s="84"/>
      <c r="H10" s="88" t="s">
        <v>116</v>
      </c>
      <c r="I10" s="49" t="s">
        <v>117</v>
      </c>
      <c r="J10" s="51">
        <f>ROUNDUP(E10*0.75,2)</f>
        <v>0.38</v>
      </c>
      <c r="K10" s="51" t="s">
        <v>24</v>
      </c>
      <c r="L10" s="51"/>
      <c r="M10" s="51">
        <f>ROUNDUP((R5*E10)+(R6*J10)+(R7*(E10*2)),2)</f>
        <v>0</v>
      </c>
      <c r="N10" s="92">
        <f>M10</f>
        <v>0</v>
      </c>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253</v>
      </c>
      <c r="C12" s="55" t="s">
        <v>120</v>
      </c>
      <c r="D12" s="56"/>
      <c r="E12" s="57">
        <v>1</v>
      </c>
      <c r="F12" s="58" t="s">
        <v>53</v>
      </c>
      <c r="G12" s="85" t="s">
        <v>52</v>
      </c>
      <c r="H12" s="89" t="s">
        <v>120</v>
      </c>
      <c r="I12" s="56"/>
      <c r="J12" s="58">
        <f>ROUNDUP(E12*0.75,2)</f>
        <v>0.75</v>
      </c>
      <c r="K12" s="58" t="s">
        <v>53</v>
      </c>
      <c r="L12" s="58" t="s">
        <v>52</v>
      </c>
      <c r="M12" s="58">
        <f>ROUNDUP((R5*E12)+(R6*J12)+(R7*(E12*2)),2)</f>
        <v>0</v>
      </c>
      <c r="N12" s="93">
        <f>M12</f>
        <v>0</v>
      </c>
      <c r="O12" s="100" t="s">
        <v>246</v>
      </c>
      <c r="P12" s="59" t="s">
        <v>41</v>
      </c>
      <c r="Q12" s="56"/>
      <c r="R12" s="60">
        <v>0.1</v>
      </c>
      <c r="S12" s="57">
        <f t="shared" ref="S12:S19" si="0">ROUNDUP(R12*0.75,2)</f>
        <v>0.08</v>
      </c>
      <c r="T12" s="77">
        <f>ROUNDUP((R5*R12)+(R6*S12)+(R7*(R12*2)),2)</f>
        <v>0</v>
      </c>
    </row>
    <row r="13" spans="1:21" ht="18.75" customHeight="1" x14ac:dyDescent="0.15">
      <c r="A13" s="242"/>
      <c r="B13" s="101" t="s">
        <v>254</v>
      </c>
      <c r="C13" s="55" t="s">
        <v>56</v>
      </c>
      <c r="D13" s="56"/>
      <c r="E13" s="57">
        <v>10</v>
      </c>
      <c r="F13" s="58" t="s">
        <v>29</v>
      </c>
      <c r="G13" s="85"/>
      <c r="H13" s="89" t="s">
        <v>56</v>
      </c>
      <c r="I13" s="56"/>
      <c r="J13" s="58">
        <f>ROUNDUP(E13*0.75,2)</f>
        <v>7.5</v>
      </c>
      <c r="K13" s="58" t="s">
        <v>29</v>
      </c>
      <c r="L13" s="58"/>
      <c r="M13" s="58">
        <f>ROUNDUP((R5*E13)+(R6*J13)+(R7*(E13*2)),2)</f>
        <v>0</v>
      </c>
      <c r="N13" s="93">
        <f>ROUND(M13+(M13*6/100),2)</f>
        <v>0</v>
      </c>
      <c r="O13" s="36" t="s">
        <v>247</v>
      </c>
      <c r="P13" s="59" t="s">
        <v>54</v>
      </c>
      <c r="Q13" s="56"/>
      <c r="R13" s="60">
        <v>2</v>
      </c>
      <c r="S13" s="57">
        <f t="shared" si="0"/>
        <v>1.5</v>
      </c>
      <c r="T13" s="77">
        <f>ROUNDUP((R5*R13)+(R6*S13)+(R7*(R13*2)),2)</f>
        <v>0</v>
      </c>
    </row>
    <row r="14" spans="1:21" ht="18.75" customHeight="1" x14ac:dyDescent="0.15">
      <c r="A14" s="242"/>
      <c r="B14" s="81"/>
      <c r="C14" s="55" t="s">
        <v>121</v>
      </c>
      <c r="D14" s="56"/>
      <c r="E14" s="57">
        <v>10</v>
      </c>
      <c r="F14" s="58" t="s">
        <v>29</v>
      </c>
      <c r="G14" s="85"/>
      <c r="H14" s="89" t="s">
        <v>121</v>
      </c>
      <c r="I14" s="56"/>
      <c r="J14" s="58">
        <f>ROUNDUP(E14*0.75,2)</f>
        <v>7.5</v>
      </c>
      <c r="K14" s="58" t="s">
        <v>29</v>
      </c>
      <c r="L14" s="58"/>
      <c r="M14" s="58">
        <f>ROUNDUP((R5*E14)+(R6*J14)+(R7*(E14*2)),2)</f>
        <v>0</v>
      </c>
      <c r="N14" s="93">
        <f>ROUND(M14+(M14*10/100),2)</f>
        <v>0</v>
      </c>
      <c r="O14" s="81" t="s">
        <v>118</v>
      </c>
      <c r="P14" s="59" t="s">
        <v>54</v>
      </c>
      <c r="Q14" s="56"/>
      <c r="R14" s="60">
        <v>1</v>
      </c>
      <c r="S14" s="57">
        <f t="shared" si="0"/>
        <v>0.75</v>
      </c>
      <c r="T14" s="77">
        <f>ROUNDUP((R5*R14)+(R6*S14)+(R7*(R14*2)),2)</f>
        <v>0</v>
      </c>
    </row>
    <row r="15" spans="1:21" ht="18.75" customHeight="1" x14ac:dyDescent="0.15">
      <c r="A15" s="242"/>
      <c r="B15" s="81"/>
      <c r="C15" s="55" t="s">
        <v>47</v>
      </c>
      <c r="D15" s="56" t="s">
        <v>40</v>
      </c>
      <c r="E15" s="57">
        <v>30</v>
      </c>
      <c r="F15" s="58" t="s">
        <v>48</v>
      </c>
      <c r="G15" s="85"/>
      <c r="H15" s="89" t="s">
        <v>47</v>
      </c>
      <c r="I15" s="56" t="s">
        <v>40</v>
      </c>
      <c r="J15" s="58">
        <f>ROUNDUP(E15*0.75,2)</f>
        <v>22.5</v>
      </c>
      <c r="K15" s="58" t="s">
        <v>48</v>
      </c>
      <c r="L15" s="58"/>
      <c r="M15" s="58">
        <f>ROUNDUP((R5*E15)+(R6*J15)+(R7*(E15*2)),2)</f>
        <v>0</v>
      </c>
      <c r="N15" s="93">
        <f>M15</f>
        <v>0</v>
      </c>
      <c r="O15" s="100" t="s">
        <v>244</v>
      </c>
      <c r="P15" s="59" t="s">
        <v>41</v>
      </c>
      <c r="Q15" s="56"/>
      <c r="R15" s="60">
        <v>0.1</v>
      </c>
      <c r="S15" s="57">
        <f t="shared" si="0"/>
        <v>0.08</v>
      </c>
      <c r="T15" s="77">
        <f>ROUNDUP((R5*R15)+(R6*S15)+(R7*(R15*2)),2)</f>
        <v>0</v>
      </c>
    </row>
    <row r="16" spans="1:21" ht="18.75" customHeight="1" x14ac:dyDescent="0.15">
      <c r="A16" s="242"/>
      <c r="B16" s="81"/>
      <c r="C16" s="55"/>
      <c r="D16" s="56"/>
      <c r="E16" s="57"/>
      <c r="F16" s="58"/>
      <c r="G16" s="85"/>
      <c r="H16" s="89"/>
      <c r="I16" s="56"/>
      <c r="J16" s="58"/>
      <c r="K16" s="58"/>
      <c r="L16" s="58"/>
      <c r="M16" s="58"/>
      <c r="N16" s="93"/>
      <c r="O16" s="36" t="s">
        <v>245</v>
      </c>
      <c r="P16" s="59" t="s">
        <v>42</v>
      </c>
      <c r="Q16" s="56"/>
      <c r="R16" s="60">
        <v>0.01</v>
      </c>
      <c r="S16" s="57">
        <f t="shared" si="0"/>
        <v>0.01</v>
      </c>
      <c r="T16" s="77">
        <f>ROUNDUP((R5*R16)+(R6*S16)+(R7*(R16*2)),2)</f>
        <v>0</v>
      </c>
    </row>
    <row r="17" spans="1:20" ht="18.75" customHeight="1" x14ac:dyDescent="0.15">
      <c r="A17" s="242"/>
      <c r="B17" s="81"/>
      <c r="C17" s="55"/>
      <c r="D17" s="56"/>
      <c r="E17" s="57"/>
      <c r="F17" s="58"/>
      <c r="G17" s="85"/>
      <c r="H17" s="89"/>
      <c r="I17" s="56"/>
      <c r="J17" s="58"/>
      <c r="K17" s="58"/>
      <c r="L17" s="58"/>
      <c r="M17" s="58"/>
      <c r="N17" s="93"/>
      <c r="O17" s="81" t="s">
        <v>119</v>
      </c>
      <c r="P17" s="59" t="s">
        <v>39</v>
      </c>
      <c r="Q17" s="56" t="s">
        <v>40</v>
      </c>
      <c r="R17" s="60">
        <v>1</v>
      </c>
      <c r="S17" s="57">
        <f t="shared" si="0"/>
        <v>0.75</v>
      </c>
      <c r="T17" s="77">
        <f>ROUNDUP((R5*R17)+(R6*S17)+(R7*(R17*2)),2)</f>
        <v>0</v>
      </c>
    </row>
    <row r="18" spans="1:20" ht="18.75" customHeight="1" x14ac:dyDescent="0.15">
      <c r="A18" s="242"/>
      <c r="B18" s="81"/>
      <c r="C18" s="55"/>
      <c r="D18" s="56"/>
      <c r="E18" s="57"/>
      <c r="F18" s="58"/>
      <c r="G18" s="85"/>
      <c r="H18" s="89"/>
      <c r="I18" s="56"/>
      <c r="J18" s="58"/>
      <c r="K18" s="58"/>
      <c r="L18" s="58"/>
      <c r="M18" s="58"/>
      <c r="N18" s="93"/>
      <c r="O18" s="100" t="s">
        <v>250</v>
      </c>
      <c r="P18" s="59" t="s">
        <v>49</v>
      </c>
      <c r="Q18" s="56" t="s">
        <v>27</v>
      </c>
      <c r="R18" s="60">
        <v>2</v>
      </c>
      <c r="S18" s="57">
        <f t="shared" si="0"/>
        <v>1.5</v>
      </c>
      <c r="T18" s="77">
        <f>ROUNDUP((R5*R18)+(R6*S18)+(R7*(R18*2)),2)</f>
        <v>0</v>
      </c>
    </row>
    <row r="19" spans="1:20" ht="18.75" customHeight="1" x14ac:dyDescent="0.15">
      <c r="A19" s="242"/>
      <c r="B19" s="81"/>
      <c r="C19" s="55"/>
      <c r="D19" s="56"/>
      <c r="E19" s="57"/>
      <c r="F19" s="58"/>
      <c r="G19" s="85"/>
      <c r="H19" s="89"/>
      <c r="I19" s="56"/>
      <c r="J19" s="58"/>
      <c r="K19" s="58"/>
      <c r="L19" s="58"/>
      <c r="M19" s="58"/>
      <c r="N19" s="93"/>
      <c r="O19" s="102" t="s">
        <v>249</v>
      </c>
      <c r="P19" s="59" t="s">
        <v>122</v>
      </c>
      <c r="Q19" s="56" t="s">
        <v>27</v>
      </c>
      <c r="R19" s="60">
        <v>3</v>
      </c>
      <c r="S19" s="57">
        <f t="shared" si="0"/>
        <v>2.25</v>
      </c>
      <c r="T19" s="77">
        <f>ROUNDUP((R5*R19)+(R6*S19)+(R7*(R19*2)),2)</f>
        <v>0</v>
      </c>
    </row>
    <row r="20" spans="1:20" ht="18.75" customHeight="1" x14ac:dyDescent="0.15">
      <c r="A20" s="242"/>
      <c r="B20" s="81"/>
      <c r="C20" s="55"/>
      <c r="D20" s="56"/>
      <c r="E20" s="57"/>
      <c r="F20" s="58"/>
      <c r="G20" s="85"/>
      <c r="H20" s="89"/>
      <c r="I20" s="56"/>
      <c r="J20" s="58"/>
      <c r="K20" s="58"/>
      <c r="L20" s="58"/>
      <c r="M20" s="58"/>
      <c r="N20" s="93"/>
      <c r="O20" s="100" t="s">
        <v>243</v>
      </c>
      <c r="P20" s="59"/>
      <c r="Q20" s="56"/>
      <c r="R20" s="60"/>
      <c r="S20" s="57"/>
      <c r="T20" s="77"/>
    </row>
    <row r="21" spans="1:20" ht="18.75" customHeight="1" x14ac:dyDescent="0.15">
      <c r="A21" s="242"/>
      <c r="B21" s="81"/>
      <c r="C21" s="55"/>
      <c r="D21" s="56"/>
      <c r="E21" s="57"/>
      <c r="F21" s="58"/>
      <c r="G21" s="85"/>
      <c r="H21" s="89"/>
      <c r="I21" s="56"/>
      <c r="J21" s="58"/>
      <c r="K21" s="58"/>
      <c r="L21" s="58"/>
      <c r="M21" s="58"/>
      <c r="N21" s="93"/>
      <c r="O21" s="100" t="s">
        <v>326</v>
      </c>
      <c r="P21" s="59"/>
      <c r="Q21" s="56"/>
      <c r="R21" s="60"/>
      <c r="S21" s="57"/>
      <c r="T21" s="77"/>
    </row>
    <row r="22" spans="1:20" ht="18.75" customHeight="1" x14ac:dyDescent="0.15">
      <c r="A22" s="242"/>
      <c r="B22" s="81"/>
      <c r="C22" s="55"/>
      <c r="D22" s="56"/>
      <c r="E22" s="57"/>
      <c r="F22" s="58"/>
      <c r="G22" s="85"/>
      <c r="H22" s="89"/>
      <c r="I22" s="56"/>
      <c r="J22" s="58"/>
      <c r="K22" s="58"/>
      <c r="L22" s="58"/>
      <c r="M22" s="58"/>
      <c r="N22" s="93"/>
      <c r="O22" s="100" t="s">
        <v>295</v>
      </c>
      <c r="P22" s="59"/>
      <c r="Q22" s="56"/>
      <c r="R22" s="60"/>
      <c r="S22" s="57"/>
      <c r="T22" s="77"/>
    </row>
    <row r="23" spans="1:20" ht="18.75" customHeight="1" x14ac:dyDescent="0.15">
      <c r="A23" s="242"/>
      <c r="B23" s="82"/>
      <c r="C23" s="61"/>
      <c r="D23" s="62"/>
      <c r="E23" s="63"/>
      <c r="F23" s="64"/>
      <c r="G23" s="86"/>
      <c r="H23" s="90"/>
      <c r="I23" s="62"/>
      <c r="J23" s="64"/>
      <c r="K23" s="64"/>
      <c r="L23" s="64"/>
      <c r="M23" s="64"/>
      <c r="N23" s="94"/>
      <c r="O23" s="82" t="s">
        <v>28</v>
      </c>
      <c r="P23" s="65"/>
      <c r="Q23" s="62"/>
      <c r="R23" s="66"/>
      <c r="S23" s="63"/>
      <c r="T23" s="78"/>
    </row>
    <row r="24" spans="1:20" ht="18.75" customHeight="1" x14ac:dyDescent="0.15">
      <c r="A24" s="242"/>
      <c r="B24" s="81" t="s">
        <v>123</v>
      </c>
      <c r="C24" s="55" t="s">
        <v>126</v>
      </c>
      <c r="D24" s="56"/>
      <c r="E24" s="57">
        <v>50</v>
      </c>
      <c r="F24" s="58" t="s">
        <v>29</v>
      </c>
      <c r="G24" s="85"/>
      <c r="H24" s="89" t="s">
        <v>126</v>
      </c>
      <c r="I24" s="56"/>
      <c r="J24" s="58">
        <f>ROUNDUP(E24*0.75,2)</f>
        <v>37.5</v>
      </c>
      <c r="K24" s="58" t="s">
        <v>29</v>
      </c>
      <c r="L24" s="58"/>
      <c r="M24" s="58">
        <f>ROUNDUP((R5*E24)+(R6*J24)+(R7*(E24*2)),2)</f>
        <v>0</v>
      </c>
      <c r="N24" s="93">
        <f>ROUND(M24+(M24*10/100),2)</f>
        <v>0</v>
      </c>
      <c r="O24" s="81" t="s">
        <v>124</v>
      </c>
      <c r="P24" s="59" t="s">
        <v>55</v>
      </c>
      <c r="Q24" s="56"/>
      <c r="R24" s="60">
        <v>20</v>
      </c>
      <c r="S24" s="57">
        <f>ROUNDUP(R24*0.75,2)</f>
        <v>15</v>
      </c>
      <c r="T24" s="77">
        <f>ROUNDUP((R5*R24)+(R6*S24)+(R7*(R24*2)),2)</f>
        <v>0</v>
      </c>
    </row>
    <row r="25" spans="1:20" ht="18.75" customHeight="1" x14ac:dyDescent="0.15">
      <c r="A25" s="242"/>
      <c r="B25" s="81"/>
      <c r="C25" s="55"/>
      <c r="D25" s="56"/>
      <c r="E25" s="57"/>
      <c r="F25" s="58"/>
      <c r="G25" s="85"/>
      <c r="H25" s="89"/>
      <c r="I25" s="56"/>
      <c r="J25" s="58"/>
      <c r="K25" s="58"/>
      <c r="L25" s="58"/>
      <c r="M25" s="58"/>
      <c r="N25" s="93"/>
      <c r="O25" s="100" t="s">
        <v>251</v>
      </c>
      <c r="P25" s="59" t="s">
        <v>50</v>
      </c>
      <c r="Q25" s="56"/>
      <c r="R25" s="60">
        <v>1</v>
      </c>
      <c r="S25" s="57">
        <f>ROUNDUP(R25*0.75,2)</f>
        <v>0.75</v>
      </c>
      <c r="T25" s="77">
        <f>ROUNDUP((R5*R25)+(R6*S25)+(R7*(R25*2)),2)</f>
        <v>0</v>
      </c>
    </row>
    <row r="26" spans="1:20" ht="18.75" customHeight="1" x14ac:dyDescent="0.15">
      <c r="A26" s="242"/>
      <c r="B26" s="81"/>
      <c r="C26" s="55"/>
      <c r="D26" s="56"/>
      <c r="E26" s="57"/>
      <c r="F26" s="58"/>
      <c r="G26" s="85"/>
      <c r="H26" s="89"/>
      <c r="I26" s="56"/>
      <c r="J26" s="58"/>
      <c r="K26" s="58"/>
      <c r="L26" s="58"/>
      <c r="M26" s="58"/>
      <c r="N26" s="93"/>
      <c r="O26" s="102" t="s">
        <v>252</v>
      </c>
      <c r="P26" s="59" t="s">
        <v>41</v>
      </c>
      <c r="Q26" s="56"/>
      <c r="R26" s="60">
        <v>0.1</v>
      </c>
      <c r="S26" s="57">
        <f>ROUNDUP(R26*0.75,2)</f>
        <v>0.08</v>
      </c>
      <c r="T26" s="77">
        <f>ROUNDUP((R5*R26)+(R6*S26)+(R7*(R26*2)),2)</f>
        <v>0</v>
      </c>
    </row>
    <row r="27" spans="1:20" ht="18.75" customHeight="1" x14ac:dyDescent="0.15">
      <c r="A27" s="242"/>
      <c r="B27" s="81"/>
      <c r="C27" s="55"/>
      <c r="D27" s="56"/>
      <c r="E27" s="57"/>
      <c r="F27" s="58"/>
      <c r="G27" s="85"/>
      <c r="H27" s="89"/>
      <c r="I27" s="56"/>
      <c r="J27" s="58"/>
      <c r="K27" s="58"/>
      <c r="L27" s="58"/>
      <c r="M27" s="58"/>
      <c r="N27" s="93"/>
      <c r="O27" s="81" t="s">
        <v>125</v>
      </c>
      <c r="P27" s="59" t="s">
        <v>39</v>
      </c>
      <c r="Q27" s="56" t="s">
        <v>40</v>
      </c>
      <c r="R27" s="60">
        <v>1</v>
      </c>
      <c r="S27" s="57">
        <f>ROUNDUP(R27*0.75,2)</f>
        <v>0.75</v>
      </c>
      <c r="T27" s="77">
        <f>ROUNDUP((R5*R27)+(R6*S27)+(R7*(R27*2)),2)</f>
        <v>0</v>
      </c>
    </row>
    <row r="28" spans="1:20" ht="18.75" customHeight="1" x14ac:dyDescent="0.15">
      <c r="A28" s="242"/>
      <c r="B28" s="82"/>
      <c r="C28" s="61"/>
      <c r="D28" s="62"/>
      <c r="E28" s="63"/>
      <c r="F28" s="64"/>
      <c r="G28" s="86"/>
      <c r="H28" s="90"/>
      <c r="I28" s="62"/>
      <c r="J28" s="64"/>
      <c r="K28" s="64"/>
      <c r="L28" s="64"/>
      <c r="M28" s="64"/>
      <c r="N28" s="94"/>
      <c r="O28" s="82" t="s">
        <v>28</v>
      </c>
      <c r="P28" s="65"/>
      <c r="Q28" s="62"/>
      <c r="R28" s="66"/>
      <c r="S28" s="63"/>
      <c r="T28" s="78"/>
    </row>
    <row r="29" spans="1:20" ht="18.75" customHeight="1" x14ac:dyDescent="0.15">
      <c r="A29" s="242"/>
      <c r="B29" s="81" t="s">
        <v>127</v>
      </c>
      <c r="C29" s="55" t="s">
        <v>33</v>
      </c>
      <c r="D29" s="56"/>
      <c r="E29" s="57">
        <v>10</v>
      </c>
      <c r="F29" s="58" t="s">
        <v>29</v>
      </c>
      <c r="G29" s="85"/>
      <c r="H29" s="89" t="s">
        <v>33</v>
      </c>
      <c r="I29" s="56"/>
      <c r="J29" s="58">
        <f>ROUNDUP(E29*0.75,2)</f>
        <v>7.5</v>
      </c>
      <c r="K29" s="58" t="s">
        <v>29</v>
      </c>
      <c r="L29" s="58"/>
      <c r="M29" s="58">
        <f>ROUNDUP((R5*E29)+(R6*J29)+(R7*(E29*2)),2)</f>
        <v>0</v>
      </c>
      <c r="N29" s="93">
        <f>ROUND(M29+(M29*10/100),2)</f>
        <v>0</v>
      </c>
      <c r="O29" s="81" t="s">
        <v>28</v>
      </c>
      <c r="P29" s="59" t="s">
        <v>55</v>
      </c>
      <c r="Q29" s="56"/>
      <c r="R29" s="60">
        <v>100</v>
      </c>
      <c r="S29" s="57">
        <f>ROUNDUP(R29*0.75,2)</f>
        <v>75</v>
      </c>
      <c r="T29" s="77">
        <f>ROUNDUP((R5*R29)+(R6*S29)+(R7*(R29*2)),2)</f>
        <v>0</v>
      </c>
    </row>
    <row r="30" spans="1:20" ht="18.75" customHeight="1" x14ac:dyDescent="0.15">
      <c r="A30" s="242"/>
      <c r="B30" s="81"/>
      <c r="C30" s="55" t="s">
        <v>67</v>
      </c>
      <c r="D30" s="56"/>
      <c r="E30" s="97">
        <v>0.1</v>
      </c>
      <c r="F30" s="58" t="s">
        <v>68</v>
      </c>
      <c r="G30" s="85"/>
      <c r="H30" s="89" t="s">
        <v>67</v>
      </c>
      <c r="I30" s="56"/>
      <c r="J30" s="58">
        <f>ROUNDUP(E30*0.75,2)</f>
        <v>0.08</v>
      </c>
      <c r="K30" s="58" t="s">
        <v>68</v>
      </c>
      <c r="L30" s="58"/>
      <c r="M30" s="58">
        <f>ROUNDUP((R5*E30)+(R6*J30)+(R7*(E30*2)),2)</f>
        <v>0</v>
      </c>
      <c r="N30" s="93">
        <f>M30</f>
        <v>0</v>
      </c>
      <c r="O30" s="81"/>
      <c r="P30" s="59" t="s">
        <v>41</v>
      </c>
      <c r="Q30" s="56"/>
      <c r="R30" s="60">
        <v>0.1</v>
      </c>
      <c r="S30" s="57">
        <f>ROUNDUP(R30*0.75,2)</f>
        <v>0.08</v>
      </c>
      <c r="T30" s="77">
        <f>ROUNDUP((R5*R30)+(R6*S30)+(R7*(R30*2)),2)</f>
        <v>0</v>
      </c>
    </row>
    <row r="31" spans="1:20" ht="18.75" customHeight="1" x14ac:dyDescent="0.15">
      <c r="A31" s="242"/>
      <c r="B31" s="81"/>
      <c r="C31" s="55"/>
      <c r="D31" s="56"/>
      <c r="E31" s="57"/>
      <c r="F31" s="58"/>
      <c r="G31" s="85"/>
      <c r="H31" s="89"/>
      <c r="I31" s="56"/>
      <c r="J31" s="58"/>
      <c r="K31" s="58"/>
      <c r="L31" s="58"/>
      <c r="M31" s="58"/>
      <c r="N31" s="93"/>
      <c r="O31" s="81"/>
      <c r="P31" s="59" t="s">
        <v>128</v>
      </c>
      <c r="Q31" s="56" t="s">
        <v>129</v>
      </c>
      <c r="R31" s="60">
        <v>0.5</v>
      </c>
      <c r="S31" s="57">
        <f>ROUNDUP(R31*0.75,2)</f>
        <v>0.38</v>
      </c>
      <c r="T31" s="77">
        <f>ROUNDUP((R5*R31)+(R6*S31)+(R7*(R31*2)),2)</f>
        <v>0</v>
      </c>
    </row>
    <row r="32" spans="1:20" ht="18.75" customHeight="1" x14ac:dyDescent="0.15">
      <c r="A32" s="242"/>
      <c r="B32" s="82"/>
      <c r="C32" s="61"/>
      <c r="D32" s="62"/>
      <c r="E32" s="63"/>
      <c r="F32" s="64"/>
      <c r="G32" s="86"/>
      <c r="H32" s="90"/>
      <c r="I32" s="62"/>
      <c r="J32" s="64"/>
      <c r="K32" s="64"/>
      <c r="L32" s="64"/>
      <c r="M32" s="64"/>
      <c r="N32" s="94"/>
      <c r="O32" s="82"/>
      <c r="P32" s="65"/>
      <c r="Q32" s="62"/>
      <c r="R32" s="66"/>
      <c r="S32" s="63"/>
      <c r="T32" s="78"/>
    </row>
    <row r="33" spans="1:20" ht="18.75" customHeight="1" x14ac:dyDescent="0.15">
      <c r="A33" s="242"/>
      <c r="B33" s="81" t="s">
        <v>60</v>
      </c>
      <c r="C33" s="55" t="s">
        <v>62</v>
      </c>
      <c r="D33" s="56"/>
      <c r="E33" s="75">
        <v>0.125</v>
      </c>
      <c r="F33" s="58" t="s">
        <v>38</v>
      </c>
      <c r="G33" s="85"/>
      <c r="H33" s="89" t="s">
        <v>62</v>
      </c>
      <c r="I33" s="56"/>
      <c r="J33" s="58">
        <f>ROUNDUP(E33*0.75,2)</f>
        <v>9.9999999999999992E-2</v>
      </c>
      <c r="K33" s="58" t="s">
        <v>38</v>
      </c>
      <c r="L33" s="58"/>
      <c r="M33" s="58">
        <f>ROUNDUP((R5*E33)+(R6*J33)+(R7*(E33*2)),2)</f>
        <v>0</v>
      </c>
      <c r="N33" s="93">
        <f>M33</f>
        <v>0</v>
      </c>
      <c r="O33" s="81" t="s">
        <v>61</v>
      </c>
      <c r="P33" s="59"/>
      <c r="Q33" s="56"/>
      <c r="R33" s="60"/>
      <c r="S33" s="57"/>
      <c r="T33" s="77"/>
    </row>
    <row r="34" spans="1:20" ht="18.75" customHeight="1" thickBot="1" x14ac:dyDescent="0.2">
      <c r="A34" s="243"/>
      <c r="B34" s="83"/>
      <c r="C34" s="68"/>
      <c r="D34" s="69"/>
      <c r="E34" s="70"/>
      <c r="F34" s="71"/>
      <c r="G34" s="87"/>
      <c r="H34" s="91"/>
      <c r="I34" s="69"/>
      <c r="J34" s="71"/>
      <c r="K34" s="71"/>
      <c r="L34" s="71"/>
      <c r="M34" s="71"/>
      <c r="N34" s="95"/>
      <c r="O34" s="83"/>
      <c r="P34" s="72"/>
      <c r="Q34" s="69"/>
      <c r="R34" s="73"/>
      <c r="S34" s="70"/>
      <c r="T34" s="79"/>
    </row>
  </sheetData>
  <mergeCells count="5">
    <mergeCell ref="H1:O1"/>
    <mergeCell ref="A2:T2"/>
    <mergeCell ref="Q3:T3"/>
    <mergeCell ref="A8:F8"/>
    <mergeCell ref="A10:A34"/>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358</v>
      </c>
      <c r="B7" s="249"/>
      <c r="C7" s="249"/>
      <c r="D7" s="114"/>
      <c r="E7" s="250" t="s">
        <v>359</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362</v>
      </c>
      <c r="C13" s="132" t="s">
        <v>120</v>
      </c>
      <c r="D13" s="132" t="s">
        <v>52</v>
      </c>
      <c r="E13" s="56"/>
      <c r="F13" s="56"/>
      <c r="G13" s="132"/>
      <c r="H13" s="143">
        <v>0.7</v>
      </c>
      <c r="I13" s="132" t="s">
        <v>362</v>
      </c>
      <c r="J13" s="132" t="s">
        <v>120</v>
      </c>
      <c r="K13" s="143">
        <v>0.3</v>
      </c>
      <c r="L13" s="132" t="s">
        <v>363</v>
      </c>
      <c r="M13" s="132" t="s">
        <v>56</v>
      </c>
      <c r="N13" s="135">
        <v>5</v>
      </c>
      <c r="O13" s="134"/>
    </row>
    <row r="14" spans="1:21" ht="14.25" x14ac:dyDescent="0.15">
      <c r="A14" s="265"/>
      <c r="B14" s="132"/>
      <c r="C14" s="132" t="s">
        <v>56</v>
      </c>
      <c r="D14" s="132"/>
      <c r="E14" s="56"/>
      <c r="F14" s="56"/>
      <c r="G14" s="132"/>
      <c r="H14" s="135">
        <v>10</v>
      </c>
      <c r="I14" s="132"/>
      <c r="J14" s="132" t="s">
        <v>56</v>
      </c>
      <c r="K14" s="135">
        <v>10</v>
      </c>
      <c r="L14" s="132"/>
      <c r="M14" s="132" t="s">
        <v>121</v>
      </c>
      <c r="N14" s="135">
        <v>10</v>
      </c>
      <c r="O14" s="134"/>
    </row>
    <row r="15" spans="1:21" ht="14.25" x14ac:dyDescent="0.15">
      <c r="A15" s="265"/>
      <c r="B15" s="132"/>
      <c r="C15" s="132" t="s">
        <v>121</v>
      </c>
      <c r="D15" s="132"/>
      <c r="E15" s="56"/>
      <c r="F15" s="56"/>
      <c r="G15" s="132"/>
      <c r="H15" s="135">
        <v>10</v>
      </c>
      <c r="I15" s="132"/>
      <c r="J15" s="132" t="s">
        <v>121</v>
      </c>
      <c r="K15" s="135">
        <v>10</v>
      </c>
      <c r="L15" s="132"/>
      <c r="M15" s="132" t="s">
        <v>126</v>
      </c>
      <c r="N15" s="135">
        <v>10</v>
      </c>
      <c r="O15" s="134"/>
    </row>
    <row r="16" spans="1:21" ht="14.25" x14ac:dyDescent="0.15">
      <c r="A16" s="265"/>
      <c r="B16" s="132"/>
      <c r="C16" s="132" t="s">
        <v>47</v>
      </c>
      <c r="D16" s="132"/>
      <c r="E16" s="56" t="s">
        <v>40</v>
      </c>
      <c r="F16" s="56"/>
      <c r="G16" s="132"/>
      <c r="H16" s="135">
        <v>20</v>
      </c>
      <c r="I16" s="132"/>
      <c r="J16" s="132" t="s">
        <v>47</v>
      </c>
      <c r="K16" s="135">
        <v>15</v>
      </c>
      <c r="L16" s="129"/>
      <c r="M16" s="129"/>
      <c r="N16" s="130"/>
      <c r="O16" s="131"/>
    </row>
    <row r="17" spans="1:15" ht="14.25" x14ac:dyDescent="0.15">
      <c r="A17" s="265"/>
      <c r="B17" s="132"/>
      <c r="C17" s="132"/>
      <c r="D17" s="132"/>
      <c r="E17" s="56"/>
      <c r="F17" s="56"/>
      <c r="G17" s="132" t="s">
        <v>55</v>
      </c>
      <c r="H17" s="135" t="s">
        <v>354</v>
      </c>
      <c r="I17" s="132"/>
      <c r="J17" s="132"/>
      <c r="K17" s="135"/>
      <c r="L17" s="132" t="s">
        <v>364</v>
      </c>
      <c r="M17" s="132" t="s">
        <v>33</v>
      </c>
      <c r="N17" s="135">
        <v>5</v>
      </c>
      <c r="O17" s="134"/>
    </row>
    <row r="18" spans="1:15" ht="14.25" x14ac:dyDescent="0.15">
      <c r="A18" s="265"/>
      <c r="B18" s="132"/>
      <c r="C18" s="132"/>
      <c r="D18" s="132"/>
      <c r="E18" s="56"/>
      <c r="F18" s="56"/>
      <c r="G18" s="132" t="s">
        <v>41</v>
      </c>
      <c r="H18" s="135" t="s">
        <v>356</v>
      </c>
      <c r="I18" s="132"/>
      <c r="J18" s="132"/>
      <c r="K18" s="135"/>
      <c r="L18" s="132"/>
      <c r="M18" s="132" t="s">
        <v>67</v>
      </c>
      <c r="N18" s="133">
        <v>0.1</v>
      </c>
      <c r="O18" s="134"/>
    </row>
    <row r="19" spans="1:15" ht="14.25" x14ac:dyDescent="0.15">
      <c r="A19" s="265"/>
      <c r="B19" s="129"/>
      <c r="C19" s="129"/>
      <c r="D19" s="129"/>
      <c r="E19" s="62"/>
      <c r="F19" s="62"/>
      <c r="G19" s="129"/>
      <c r="H19" s="130"/>
      <c r="I19" s="129"/>
      <c r="J19" s="129"/>
      <c r="K19" s="130"/>
      <c r="L19" s="129"/>
      <c r="M19" s="129"/>
      <c r="N19" s="130"/>
      <c r="O19" s="131"/>
    </row>
    <row r="20" spans="1:15" ht="14.25" x14ac:dyDescent="0.15">
      <c r="A20" s="265"/>
      <c r="B20" s="132" t="s">
        <v>365</v>
      </c>
      <c r="C20" s="132" t="s">
        <v>126</v>
      </c>
      <c r="D20" s="132"/>
      <c r="E20" s="56"/>
      <c r="F20" s="56"/>
      <c r="G20" s="132"/>
      <c r="H20" s="135">
        <v>30</v>
      </c>
      <c r="I20" s="132" t="s">
        <v>365</v>
      </c>
      <c r="J20" s="132" t="s">
        <v>126</v>
      </c>
      <c r="K20" s="135">
        <v>20</v>
      </c>
      <c r="L20" s="132" t="s">
        <v>366</v>
      </c>
      <c r="M20" s="132" t="s">
        <v>62</v>
      </c>
      <c r="N20" s="144">
        <v>0.08</v>
      </c>
      <c r="O20" s="134"/>
    </row>
    <row r="21" spans="1:15" ht="14.25" x14ac:dyDescent="0.15">
      <c r="A21" s="265"/>
      <c r="B21" s="132"/>
      <c r="C21" s="132"/>
      <c r="D21" s="132"/>
      <c r="E21" s="56"/>
      <c r="F21" s="56"/>
      <c r="G21" s="132" t="s">
        <v>25</v>
      </c>
      <c r="H21" s="135" t="s">
        <v>354</v>
      </c>
      <c r="I21" s="132"/>
      <c r="J21" s="132"/>
      <c r="K21" s="135"/>
      <c r="L21" s="132"/>
      <c r="M21" s="132"/>
      <c r="N21" s="135"/>
      <c r="O21" s="134"/>
    </row>
    <row r="22" spans="1:15" ht="14.25" x14ac:dyDescent="0.15">
      <c r="A22" s="265"/>
      <c r="B22" s="129"/>
      <c r="C22" s="129"/>
      <c r="D22" s="129"/>
      <c r="E22" s="62"/>
      <c r="F22" s="62"/>
      <c r="G22" s="129"/>
      <c r="H22" s="130"/>
      <c r="I22" s="129"/>
      <c r="J22" s="129"/>
      <c r="K22" s="130"/>
      <c r="L22" s="132"/>
      <c r="M22" s="132"/>
      <c r="N22" s="135"/>
      <c r="O22" s="134"/>
    </row>
    <row r="23" spans="1:15" ht="14.25" x14ac:dyDescent="0.15">
      <c r="A23" s="265"/>
      <c r="B23" s="132" t="s">
        <v>127</v>
      </c>
      <c r="C23" s="132" t="s">
        <v>33</v>
      </c>
      <c r="D23" s="132"/>
      <c r="E23" s="56"/>
      <c r="F23" s="137"/>
      <c r="G23" s="132"/>
      <c r="H23" s="135">
        <v>5</v>
      </c>
      <c r="I23" s="132" t="s">
        <v>127</v>
      </c>
      <c r="J23" s="132" t="s">
        <v>33</v>
      </c>
      <c r="K23" s="135">
        <v>5</v>
      </c>
      <c r="L23" s="132"/>
      <c r="M23" s="132"/>
      <c r="N23" s="135"/>
      <c r="O23" s="134"/>
    </row>
    <row r="24" spans="1:15" ht="14.25" x14ac:dyDescent="0.15">
      <c r="A24" s="265"/>
      <c r="B24" s="132"/>
      <c r="C24" s="132" t="s">
        <v>67</v>
      </c>
      <c r="D24" s="132"/>
      <c r="E24" s="56"/>
      <c r="F24" s="56"/>
      <c r="G24" s="132"/>
      <c r="H24" s="133">
        <v>0.1</v>
      </c>
      <c r="I24" s="132"/>
      <c r="J24" s="132" t="s">
        <v>67</v>
      </c>
      <c r="K24" s="133">
        <v>0.1</v>
      </c>
      <c r="L24" s="132"/>
      <c r="M24" s="132"/>
      <c r="N24" s="135"/>
      <c r="O24" s="134"/>
    </row>
    <row r="25" spans="1:15" ht="14.25" x14ac:dyDescent="0.15">
      <c r="A25" s="265"/>
      <c r="B25" s="132"/>
      <c r="C25" s="132"/>
      <c r="D25" s="132"/>
      <c r="E25" s="56"/>
      <c r="F25" s="56"/>
      <c r="G25" s="132" t="s">
        <v>55</v>
      </c>
      <c r="H25" s="135" t="s">
        <v>354</v>
      </c>
      <c r="I25" s="132"/>
      <c r="J25" s="132"/>
      <c r="K25" s="135"/>
      <c r="L25" s="132"/>
      <c r="M25" s="132"/>
      <c r="N25" s="135"/>
      <c r="O25" s="134"/>
    </row>
    <row r="26" spans="1:15" ht="14.25" x14ac:dyDescent="0.15">
      <c r="A26" s="265"/>
      <c r="B26" s="129"/>
      <c r="C26" s="129"/>
      <c r="D26" s="129"/>
      <c r="E26" s="62"/>
      <c r="F26" s="62"/>
      <c r="G26" s="129"/>
      <c r="H26" s="130"/>
      <c r="I26" s="129"/>
      <c r="J26" s="129"/>
      <c r="K26" s="130"/>
      <c r="L26" s="132"/>
      <c r="M26" s="132"/>
      <c r="N26" s="135"/>
      <c r="O26" s="134"/>
    </row>
    <row r="27" spans="1:15" ht="14.25" x14ac:dyDescent="0.15">
      <c r="A27" s="265"/>
      <c r="B27" s="132" t="s">
        <v>60</v>
      </c>
      <c r="C27" s="132" t="s">
        <v>62</v>
      </c>
      <c r="D27" s="132"/>
      <c r="E27" s="56"/>
      <c r="F27" s="56"/>
      <c r="G27" s="132"/>
      <c r="H27" s="133">
        <v>0.1</v>
      </c>
      <c r="I27" s="132" t="s">
        <v>60</v>
      </c>
      <c r="J27" s="132" t="s">
        <v>62</v>
      </c>
      <c r="K27" s="133">
        <v>0.1</v>
      </c>
      <c r="L27" s="132"/>
      <c r="M27" s="132"/>
      <c r="N27" s="135"/>
      <c r="O27" s="134"/>
    </row>
    <row r="28" spans="1:15" ht="15" thickBot="1" x14ac:dyDescent="0.2">
      <c r="A28" s="266"/>
      <c r="B28" s="139"/>
      <c r="C28" s="139"/>
      <c r="D28" s="139"/>
      <c r="E28" s="69"/>
      <c r="F28" s="69"/>
      <c r="G28" s="139"/>
      <c r="H28" s="140"/>
      <c r="I28" s="139"/>
      <c r="J28" s="139"/>
      <c r="K28" s="140"/>
      <c r="L28" s="139"/>
      <c r="M28" s="139"/>
      <c r="N28" s="140"/>
      <c r="O28" s="141"/>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sheetData>
  <mergeCells count="15">
    <mergeCell ref="L8:N8"/>
    <mergeCell ref="O8:O10"/>
    <mergeCell ref="I9:K9"/>
    <mergeCell ref="L9:N9"/>
    <mergeCell ref="A11:A28"/>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134</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135</v>
      </c>
      <c r="C10" s="48" t="s">
        <v>139</v>
      </c>
      <c r="D10" s="49" t="s">
        <v>27</v>
      </c>
      <c r="E10" s="54">
        <v>40</v>
      </c>
      <c r="F10" s="51" t="s">
        <v>29</v>
      </c>
      <c r="G10" s="84"/>
      <c r="H10" s="88" t="s">
        <v>139</v>
      </c>
      <c r="I10" s="49" t="s">
        <v>27</v>
      </c>
      <c r="J10" s="51">
        <f>ROUNDUP(E10*0.75,2)</f>
        <v>30</v>
      </c>
      <c r="K10" s="51" t="s">
        <v>29</v>
      </c>
      <c r="L10" s="51"/>
      <c r="M10" s="51">
        <f>ROUNDUP((R5*E10)+(R6*J10)+(R7*(E10*2)),2)</f>
        <v>0</v>
      </c>
      <c r="N10" s="92">
        <f>M10</f>
        <v>0</v>
      </c>
      <c r="O10" s="80" t="s">
        <v>136</v>
      </c>
      <c r="P10" s="52" t="s">
        <v>39</v>
      </c>
      <c r="Q10" s="49" t="s">
        <v>40</v>
      </c>
      <c r="R10" s="53">
        <v>2</v>
      </c>
      <c r="S10" s="54">
        <f t="shared" ref="S10:S17" si="0">ROUNDUP(R10*0.75,2)</f>
        <v>1.5</v>
      </c>
      <c r="T10" s="76">
        <f>ROUNDUP((R5*R10)+(R6*S10)+(R7*(R10*2)),2)</f>
        <v>0</v>
      </c>
    </row>
    <row r="11" spans="1:21" ht="18.75" customHeight="1" x14ac:dyDescent="0.15">
      <c r="A11" s="242"/>
      <c r="B11" s="81"/>
      <c r="C11" s="55" t="s">
        <v>56</v>
      </c>
      <c r="D11" s="56"/>
      <c r="E11" s="57">
        <v>30</v>
      </c>
      <c r="F11" s="58" t="s">
        <v>29</v>
      </c>
      <c r="G11" s="85"/>
      <c r="H11" s="89" t="s">
        <v>56</v>
      </c>
      <c r="I11" s="56"/>
      <c r="J11" s="58">
        <f>ROUNDUP(E11*0.75,2)</f>
        <v>22.5</v>
      </c>
      <c r="K11" s="58" t="s">
        <v>29</v>
      </c>
      <c r="L11" s="58"/>
      <c r="M11" s="58">
        <f>ROUNDUP((R5*E11)+(R6*J11)+(R7*(E11*2)),2)</f>
        <v>0</v>
      </c>
      <c r="N11" s="93">
        <f>ROUND(M11+(M11*6/100),2)</f>
        <v>0</v>
      </c>
      <c r="O11" s="81" t="s">
        <v>137</v>
      </c>
      <c r="P11" s="59" t="s">
        <v>54</v>
      </c>
      <c r="Q11" s="56"/>
      <c r="R11" s="60">
        <v>2</v>
      </c>
      <c r="S11" s="57">
        <f t="shared" si="0"/>
        <v>1.5</v>
      </c>
      <c r="T11" s="77">
        <f>ROUNDUP((R5*R11)+(R6*S11)+(R7*(R11*2)),2)</f>
        <v>0</v>
      </c>
    </row>
    <row r="12" spans="1:21" ht="18.75" customHeight="1" x14ac:dyDescent="0.15">
      <c r="A12" s="242"/>
      <c r="B12" s="81"/>
      <c r="C12" s="55" t="s">
        <v>33</v>
      </c>
      <c r="D12" s="56"/>
      <c r="E12" s="57">
        <v>10</v>
      </c>
      <c r="F12" s="58" t="s">
        <v>29</v>
      </c>
      <c r="G12" s="85"/>
      <c r="H12" s="89" t="s">
        <v>33</v>
      </c>
      <c r="I12" s="56"/>
      <c r="J12" s="58">
        <f>ROUNDUP(E12*0.75,2)</f>
        <v>7.5</v>
      </c>
      <c r="K12" s="58" t="s">
        <v>29</v>
      </c>
      <c r="L12" s="58"/>
      <c r="M12" s="58">
        <f>ROUNDUP((R5*E12)+(R6*J12)+(R7*(E12*2)),2)</f>
        <v>0</v>
      </c>
      <c r="N12" s="93">
        <f>ROUND(M12+(M12*10/100),2)</f>
        <v>0</v>
      </c>
      <c r="O12" s="100" t="s">
        <v>255</v>
      </c>
      <c r="P12" s="59" t="s">
        <v>49</v>
      </c>
      <c r="Q12" s="56" t="s">
        <v>27</v>
      </c>
      <c r="R12" s="60">
        <v>2</v>
      </c>
      <c r="S12" s="57">
        <f t="shared" si="0"/>
        <v>1.5</v>
      </c>
      <c r="T12" s="77">
        <f>ROUNDUP((R5*R12)+(R6*S12)+(R7*(R12*2)),2)</f>
        <v>0</v>
      </c>
    </row>
    <row r="13" spans="1:21" ht="18.75" customHeight="1" x14ac:dyDescent="0.15">
      <c r="A13" s="242"/>
      <c r="B13" s="81"/>
      <c r="C13" s="55" t="s">
        <v>130</v>
      </c>
      <c r="D13" s="56"/>
      <c r="E13" s="57">
        <v>40</v>
      </c>
      <c r="F13" s="58" t="s">
        <v>29</v>
      </c>
      <c r="G13" s="85"/>
      <c r="H13" s="89" t="s">
        <v>130</v>
      </c>
      <c r="I13" s="56"/>
      <c r="J13" s="58">
        <f>ROUNDUP(E13*0.75,2)</f>
        <v>30</v>
      </c>
      <c r="K13" s="58" t="s">
        <v>29</v>
      </c>
      <c r="L13" s="58"/>
      <c r="M13" s="58">
        <f>ROUNDUP((R5*E13)+(R6*J13)+(R7*(E13*2)),2)</f>
        <v>0</v>
      </c>
      <c r="N13" s="93">
        <f>M13</f>
        <v>0</v>
      </c>
      <c r="O13" s="36" t="s">
        <v>256</v>
      </c>
      <c r="P13" s="59" t="s">
        <v>55</v>
      </c>
      <c r="Q13" s="56"/>
      <c r="R13" s="60">
        <v>30</v>
      </c>
      <c r="S13" s="57">
        <f t="shared" si="0"/>
        <v>22.5</v>
      </c>
      <c r="T13" s="77">
        <f>ROUNDUP((R5*R13)+(R6*S13)+(R7*(R13*2)),2)</f>
        <v>0</v>
      </c>
    </row>
    <row r="14" spans="1:21" ht="18.75" customHeight="1" x14ac:dyDescent="0.15">
      <c r="A14" s="242"/>
      <c r="B14" s="81"/>
      <c r="C14" s="55" t="s">
        <v>140</v>
      </c>
      <c r="D14" s="56"/>
      <c r="E14" s="57">
        <v>5</v>
      </c>
      <c r="F14" s="58" t="s">
        <v>29</v>
      </c>
      <c r="G14" s="85"/>
      <c r="H14" s="89" t="s">
        <v>140</v>
      </c>
      <c r="I14" s="56"/>
      <c r="J14" s="58">
        <f>ROUNDUP(E14*0.75,2)</f>
        <v>3.75</v>
      </c>
      <c r="K14" s="58" t="s">
        <v>29</v>
      </c>
      <c r="L14" s="58"/>
      <c r="M14" s="58">
        <f>ROUNDUP((R5*E14)+(R6*J14)+(R7*(E14*2)),2)</f>
        <v>0</v>
      </c>
      <c r="N14" s="93">
        <f>M14</f>
        <v>0</v>
      </c>
      <c r="O14" s="81" t="s">
        <v>138</v>
      </c>
      <c r="P14" s="59" t="s">
        <v>30</v>
      </c>
      <c r="Q14" s="56"/>
      <c r="R14" s="60">
        <v>1</v>
      </c>
      <c r="S14" s="57">
        <f t="shared" si="0"/>
        <v>0.75</v>
      </c>
      <c r="T14" s="77">
        <f>ROUNDUP((R5*R14)+(R6*S14)+(R7*(R14*2)),2)</f>
        <v>0</v>
      </c>
    </row>
    <row r="15" spans="1:21" ht="18.75" customHeight="1" x14ac:dyDescent="0.15">
      <c r="A15" s="242"/>
      <c r="B15" s="81"/>
      <c r="C15" s="55"/>
      <c r="D15" s="56"/>
      <c r="E15" s="57"/>
      <c r="F15" s="58"/>
      <c r="G15" s="85"/>
      <c r="H15" s="89"/>
      <c r="I15" s="56"/>
      <c r="J15" s="58"/>
      <c r="K15" s="58"/>
      <c r="L15" s="58"/>
      <c r="M15" s="58"/>
      <c r="N15" s="93"/>
      <c r="O15" s="81" t="s">
        <v>28</v>
      </c>
      <c r="P15" s="59" t="s">
        <v>57</v>
      </c>
      <c r="Q15" s="56"/>
      <c r="R15" s="60">
        <v>15</v>
      </c>
      <c r="S15" s="57">
        <f t="shared" si="0"/>
        <v>11.25</v>
      </c>
      <c r="T15" s="77">
        <f>ROUNDUP((R5*R15)+(R6*S15)+(R7*(R15*2)),2)</f>
        <v>0</v>
      </c>
    </row>
    <row r="16" spans="1:21" ht="18.75" customHeight="1" x14ac:dyDescent="0.15">
      <c r="A16" s="242"/>
      <c r="B16" s="81"/>
      <c r="C16" s="55"/>
      <c r="D16" s="56"/>
      <c r="E16" s="57"/>
      <c r="F16" s="58"/>
      <c r="G16" s="85"/>
      <c r="H16" s="89"/>
      <c r="I16" s="56"/>
      <c r="J16" s="58"/>
      <c r="K16" s="58"/>
      <c r="L16" s="58"/>
      <c r="M16" s="58"/>
      <c r="N16" s="93"/>
      <c r="O16" s="81"/>
      <c r="P16" s="59" t="s">
        <v>86</v>
      </c>
      <c r="Q16" s="56"/>
      <c r="R16" s="60">
        <v>2</v>
      </c>
      <c r="S16" s="57">
        <f t="shared" si="0"/>
        <v>1.5</v>
      </c>
      <c r="T16" s="77">
        <f>ROUNDUP((R5*R16)+(R6*S16)+(R7*(R16*2)),2)</f>
        <v>0</v>
      </c>
    </row>
    <row r="17" spans="1:20" ht="18.75" customHeight="1" x14ac:dyDescent="0.15">
      <c r="A17" s="242"/>
      <c r="B17" s="81"/>
      <c r="C17" s="55"/>
      <c r="D17" s="56"/>
      <c r="E17" s="57"/>
      <c r="F17" s="58"/>
      <c r="G17" s="85"/>
      <c r="H17" s="89"/>
      <c r="I17" s="56"/>
      <c r="J17" s="58"/>
      <c r="K17" s="58"/>
      <c r="L17" s="58"/>
      <c r="M17" s="58"/>
      <c r="N17" s="93"/>
      <c r="O17" s="81"/>
      <c r="P17" s="59" t="s">
        <v>50</v>
      </c>
      <c r="Q17" s="56"/>
      <c r="R17" s="60">
        <v>0.5</v>
      </c>
      <c r="S17" s="57">
        <f t="shared" si="0"/>
        <v>0.38</v>
      </c>
      <c r="T17" s="77">
        <f>ROUNDUP((R5*R17)+(R6*S17)+(R7*(R17*2)),2)</f>
        <v>0</v>
      </c>
    </row>
    <row r="18" spans="1:20" ht="18.75" customHeight="1" x14ac:dyDescent="0.15">
      <c r="A18" s="242"/>
      <c r="B18" s="82"/>
      <c r="C18" s="61"/>
      <c r="D18" s="62"/>
      <c r="E18" s="63"/>
      <c r="F18" s="64"/>
      <c r="G18" s="86"/>
      <c r="H18" s="90"/>
      <c r="I18" s="62"/>
      <c r="J18" s="64"/>
      <c r="K18" s="64"/>
      <c r="L18" s="64"/>
      <c r="M18" s="64"/>
      <c r="N18" s="94"/>
      <c r="O18" s="82"/>
      <c r="P18" s="65"/>
      <c r="Q18" s="62"/>
      <c r="R18" s="66"/>
      <c r="S18" s="63"/>
      <c r="T18" s="78"/>
    </row>
    <row r="19" spans="1:20" ht="18.75" customHeight="1" x14ac:dyDescent="0.15">
      <c r="A19" s="242"/>
      <c r="B19" s="81" t="s">
        <v>259</v>
      </c>
      <c r="C19" s="55" t="s">
        <v>32</v>
      </c>
      <c r="D19" s="56"/>
      <c r="E19" s="57">
        <v>20</v>
      </c>
      <c r="F19" s="58" t="s">
        <v>29</v>
      </c>
      <c r="G19" s="85"/>
      <c r="H19" s="89" t="s">
        <v>32</v>
      </c>
      <c r="I19" s="56"/>
      <c r="J19" s="58">
        <f>ROUNDUP(E19*0.75,2)</f>
        <v>15</v>
      </c>
      <c r="K19" s="58" t="s">
        <v>29</v>
      </c>
      <c r="L19" s="58"/>
      <c r="M19" s="58">
        <f>ROUNDUP((R5*E19)+(R6*J19)+(R7*(E19*2)),2)</f>
        <v>0</v>
      </c>
      <c r="N19" s="93">
        <f>ROUND(M19+(M19*15/100),2)</f>
        <v>0</v>
      </c>
      <c r="O19" s="100" t="s">
        <v>257</v>
      </c>
      <c r="P19" s="59" t="s">
        <v>78</v>
      </c>
      <c r="Q19" s="56" t="s">
        <v>79</v>
      </c>
      <c r="R19" s="60">
        <v>4</v>
      </c>
      <c r="S19" s="57">
        <f>ROUNDUP(R19*0.75,2)</f>
        <v>3</v>
      </c>
      <c r="T19" s="77">
        <f>ROUNDUP((R5*R19)+(R6*S19)+(R7*(R19*2)),2)</f>
        <v>0</v>
      </c>
    </row>
    <row r="20" spans="1:20" ht="18.75" customHeight="1" x14ac:dyDescent="0.15">
      <c r="A20" s="242"/>
      <c r="B20" s="101" t="s">
        <v>260</v>
      </c>
      <c r="C20" s="55" t="s">
        <v>142</v>
      </c>
      <c r="D20" s="56"/>
      <c r="E20" s="57">
        <v>10</v>
      </c>
      <c r="F20" s="58" t="s">
        <v>29</v>
      </c>
      <c r="G20" s="85"/>
      <c r="H20" s="89" t="s">
        <v>142</v>
      </c>
      <c r="I20" s="56"/>
      <c r="J20" s="58">
        <f>ROUNDUP(E20*0.75,2)</f>
        <v>7.5</v>
      </c>
      <c r="K20" s="58" t="s">
        <v>29</v>
      </c>
      <c r="L20" s="58"/>
      <c r="M20" s="58">
        <f>ROUNDUP((R5*E20)+(R6*J20)+(R7*(E20*2)),2)</f>
        <v>0</v>
      </c>
      <c r="N20" s="93"/>
      <c r="O20" s="36" t="s">
        <v>258</v>
      </c>
      <c r="P20" s="59" t="s">
        <v>50</v>
      </c>
      <c r="Q20" s="56"/>
      <c r="R20" s="60">
        <v>0.3</v>
      </c>
      <c r="S20" s="57">
        <f>ROUNDUP(R20*0.75,2)</f>
        <v>0.23</v>
      </c>
      <c r="T20" s="77">
        <f>ROUNDUP((R5*R20)+(R6*S20)+(R7*(R20*2)),2)</f>
        <v>0</v>
      </c>
    </row>
    <row r="21" spans="1:20" ht="18.75" customHeight="1" x14ac:dyDescent="0.15">
      <c r="A21" s="242"/>
      <c r="B21" s="81"/>
      <c r="C21" s="55" t="s">
        <v>77</v>
      </c>
      <c r="D21" s="56"/>
      <c r="E21" s="57">
        <v>10</v>
      </c>
      <c r="F21" s="58" t="s">
        <v>29</v>
      </c>
      <c r="G21" s="85"/>
      <c r="H21" s="89" t="s">
        <v>77</v>
      </c>
      <c r="I21" s="56"/>
      <c r="J21" s="58">
        <f>ROUNDUP(E21*0.75,2)</f>
        <v>7.5</v>
      </c>
      <c r="K21" s="58" t="s">
        <v>29</v>
      </c>
      <c r="L21" s="58"/>
      <c r="M21" s="58">
        <f>ROUNDUP((R5*E21)+(R6*J21)+(R7*(E21*2)),2)</f>
        <v>0</v>
      </c>
      <c r="N21" s="93">
        <f>M21</f>
        <v>0</v>
      </c>
      <c r="O21" s="81" t="s">
        <v>141</v>
      </c>
      <c r="P21" s="59" t="s">
        <v>41</v>
      </c>
      <c r="Q21" s="56"/>
      <c r="R21" s="60">
        <v>0.1</v>
      </c>
      <c r="S21" s="57">
        <f>ROUNDUP(R21*0.75,2)</f>
        <v>0.08</v>
      </c>
      <c r="T21" s="77">
        <f>ROUNDUP((R5*R21)+(R6*S21)+(R7*(R21*2)),2)</f>
        <v>0</v>
      </c>
    </row>
    <row r="22" spans="1:20" ht="18.75" customHeight="1" x14ac:dyDescent="0.15">
      <c r="A22" s="242"/>
      <c r="B22" s="81"/>
      <c r="C22" s="55" t="s">
        <v>36</v>
      </c>
      <c r="D22" s="56" t="s">
        <v>37</v>
      </c>
      <c r="E22" s="67">
        <v>0.5</v>
      </c>
      <c r="F22" s="58" t="s">
        <v>38</v>
      </c>
      <c r="G22" s="85"/>
      <c r="H22" s="89" t="s">
        <v>36</v>
      </c>
      <c r="I22" s="56" t="s">
        <v>37</v>
      </c>
      <c r="J22" s="58">
        <f>ROUNDUP(E22*0.75,2)</f>
        <v>0.38</v>
      </c>
      <c r="K22" s="58" t="s">
        <v>38</v>
      </c>
      <c r="L22" s="58"/>
      <c r="M22" s="58">
        <f>ROUNDUP((R5*E22)+(R6*J22)+(R7*(E22*2)),2)</f>
        <v>0</v>
      </c>
      <c r="N22" s="93">
        <f>M22</f>
        <v>0</v>
      </c>
      <c r="O22" s="81" t="s">
        <v>28</v>
      </c>
      <c r="P22" s="59"/>
      <c r="Q22" s="56"/>
      <c r="R22" s="60"/>
      <c r="S22" s="57"/>
      <c r="T22" s="77"/>
    </row>
    <row r="23" spans="1:20" ht="18.75" customHeight="1" x14ac:dyDescent="0.15">
      <c r="A23" s="242"/>
      <c r="B23" s="82"/>
      <c r="C23" s="61"/>
      <c r="D23" s="62"/>
      <c r="E23" s="63"/>
      <c r="F23" s="64"/>
      <c r="G23" s="86"/>
      <c r="H23" s="90"/>
      <c r="I23" s="62"/>
      <c r="J23" s="64"/>
      <c r="K23" s="64"/>
      <c r="L23" s="64"/>
      <c r="M23" s="64"/>
      <c r="N23" s="94"/>
      <c r="O23" s="82"/>
      <c r="P23" s="65"/>
      <c r="Q23" s="62"/>
      <c r="R23" s="66"/>
      <c r="S23" s="63"/>
      <c r="T23" s="78"/>
    </row>
    <row r="24" spans="1:20" ht="18.75" customHeight="1" x14ac:dyDescent="0.15">
      <c r="A24" s="242"/>
      <c r="B24" s="81" t="s">
        <v>127</v>
      </c>
      <c r="C24" s="55" t="s">
        <v>76</v>
      </c>
      <c r="D24" s="56"/>
      <c r="E24" s="57">
        <v>20</v>
      </c>
      <c r="F24" s="58" t="s">
        <v>29</v>
      </c>
      <c r="G24" s="85"/>
      <c r="H24" s="89" t="s">
        <v>76</v>
      </c>
      <c r="I24" s="56"/>
      <c r="J24" s="58">
        <f>ROUNDUP(E24*0.75,2)</f>
        <v>15</v>
      </c>
      <c r="K24" s="58" t="s">
        <v>29</v>
      </c>
      <c r="L24" s="58"/>
      <c r="M24" s="58">
        <f>ROUNDUP((R5*E24)+(R6*J24)+(R7*(E24*2)),2)</f>
        <v>0</v>
      </c>
      <c r="N24" s="93">
        <f>ROUND(M24+(M24*6/100),2)</f>
        <v>0</v>
      </c>
      <c r="O24" s="81" t="s">
        <v>28</v>
      </c>
      <c r="P24" s="59" t="s">
        <v>55</v>
      </c>
      <c r="Q24" s="56"/>
      <c r="R24" s="60">
        <v>100</v>
      </c>
      <c r="S24" s="57">
        <f>ROUNDUP(R24*0.75,2)</f>
        <v>75</v>
      </c>
      <c r="T24" s="77">
        <f>ROUNDUP((R5*R24)+(R6*S24)+(R7*(R24*2)),2)</f>
        <v>0</v>
      </c>
    </row>
    <row r="25" spans="1:20" ht="18.75" customHeight="1" x14ac:dyDescent="0.15">
      <c r="A25" s="242"/>
      <c r="B25" s="81"/>
      <c r="C25" s="55" t="s">
        <v>102</v>
      </c>
      <c r="D25" s="56"/>
      <c r="E25" s="57">
        <v>5</v>
      </c>
      <c r="F25" s="58" t="s">
        <v>29</v>
      </c>
      <c r="G25" s="85"/>
      <c r="H25" s="89" t="s">
        <v>102</v>
      </c>
      <c r="I25" s="56"/>
      <c r="J25" s="58">
        <f>ROUNDUP(E25*0.75,2)</f>
        <v>3.75</v>
      </c>
      <c r="K25" s="58" t="s">
        <v>29</v>
      </c>
      <c r="L25" s="58"/>
      <c r="M25" s="58">
        <f>ROUNDUP((R5*E25)+(R6*J25)+(R7*(E25*2)),2)</f>
        <v>0</v>
      </c>
      <c r="N25" s="93">
        <f>M25</f>
        <v>0</v>
      </c>
      <c r="O25" s="81"/>
      <c r="P25" s="59" t="s">
        <v>41</v>
      </c>
      <c r="Q25" s="56"/>
      <c r="R25" s="60">
        <v>0.1</v>
      </c>
      <c r="S25" s="57">
        <f>ROUNDUP(R25*0.75,2)</f>
        <v>0.08</v>
      </c>
      <c r="T25" s="77">
        <f>ROUNDUP((R5*R25)+(R6*S25)+(R7*(R25*2)),2)</f>
        <v>0</v>
      </c>
    </row>
    <row r="26" spans="1:20" ht="18.75" customHeight="1" x14ac:dyDescent="0.15">
      <c r="A26" s="242"/>
      <c r="B26" s="81"/>
      <c r="C26" s="55"/>
      <c r="D26" s="56"/>
      <c r="E26" s="57"/>
      <c r="F26" s="58"/>
      <c r="G26" s="85"/>
      <c r="H26" s="89"/>
      <c r="I26" s="56"/>
      <c r="J26" s="58"/>
      <c r="K26" s="58"/>
      <c r="L26" s="58"/>
      <c r="M26" s="58"/>
      <c r="N26" s="93"/>
      <c r="O26" s="81"/>
      <c r="P26" s="59" t="s">
        <v>128</v>
      </c>
      <c r="Q26" s="56" t="s">
        <v>129</v>
      </c>
      <c r="R26" s="60">
        <v>0.5</v>
      </c>
      <c r="S26" s="57">
        <f>ROUNDUP(R26*0.75,2)</f>
        <v>0.38</v>
      </c>
      <c r="T26" s="77">
        <f>ROUNDUP((R5*R26)+(R6*S26)+(R7*(R26*2)),2)</f>
        <v>0</v>
      </c>
    </row>
    <row r="27" spans="1:20" ht="18.75" customHeight="1" thickBot="1" x14ac:dyDescent="0.2">
      <c r="A27" s="243"/>
      <c r="B27" s="83"/>
      <c r="C27" s="68"/>
      <c r="D27" s="69"/>
      <c r="E27" s="70"/>
      <c r="F27" s="71"/>
      <c r="G27" s="87"/>
      <c r="H27" s="91"/>
      <c r="I27" s="69"/>
      <c r="J27" s="71"/>
      <c r="K27" s="71"/>
      <c r="L27" s="71"/>
      <c r="M27" s="71"/>
      <c r="N27" s="95"/>
      <c r="O27" s="83"/>
      <c r="P27" s="72"/>
      <c r="Q27" s="69"/>
      <c r="R27" s="73"/>
      <c r="S27" s="70"/>
      <c r="T27" s="79"/>
    </row>
  </sheetData>
  <mergeCells count="5">
    <mergeCell ref="H1:O1"/>
    <mergeCell ref="A2:T2"/>
    <mergeCell ref="Q3:T3"/>
    <mergeCell ref="A8:F8"/>
    <mergeCell ref="A10:A27"/>
  </mergeCells>
  <phoneticPr fontId="19"/>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35"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 min="257" max="257" width="4.5" customWidth="1"/>
    <col min="258" max="258" width="24.375" customWidth="1"/>
    <col min="259" max="259" width="28.25" customWidth="1"/>
    <col min="260" max="260" width="0" hidden="1" customWidth="1"/>
    <col min="261" max="262" width="10.375" customWidth="1"/>
    <col min="263" max="263" width="10" customWidth="1"/>
    <col min="264" max="264" width="18.75" customWidth="1"/>
    <col min="265" max="265" width="22.5" customWidth="1"/>
    <col min="266" max="266" width="21.25" customWidth="1"/>
    <col min="267" max="267" width="11.125" customWidth="1"/>
    <col min="268" max="268" width="22.375" customWidth="1"/>
    <col min="269" max="269" width="21.25" customWidth="1"/>
    <col min="270" max="270" width="11.25" customWidth="1"/>
    <col min="271" max="271" width="0" hidden="1" customWidth="1"/>
    <col min="513" max="513" width="4.5" customWidth="1"/>
    <col min="514" max="514" width="24.375" customWidth="1"/>
    <col min="515" max="515" width="28.25" customWidth="1"/>
    <col min="516" max="516" width="0" hidden="1" customWidth="1"/>
    <col min="517" max="518" width="10.375" customWidth="1"/>
    <col min="519" max="519" width="10" customWidth="1"/>
    <col min="520" max="520" width="18.75" customWidth="1"/>
    <col min="521" max="521" width="22.5" customWidth="1"/>
    <col min="522" max="522" width="21.25" customWidth="1"/>
    <col min="523" max="523" width="11.125" customWidth="1"/>
    <col min="524" max="524" width="22.375" customWidth="1"/>
    <col min="525" max="525" width="21.25" customWidth="1"/>
    <col min="526" max="526" width="11.25" customWidth="1"/>
    <col min="527" max="527" width="0" hidden="1" customWidth="1"/>
    <col min="769" max="769" width="4.5" customWidth="1"/>
    <col min="770" max="770" width="24.375" customWidth="1"/>
    <col min="771" max="771" width="28.25" customWidth="1"/>
    <col min="772" max="772" width="0" hidden="1" customWidth="1"/>
    <col min="773" max="774" width="10.375" customWidth="1"/>
    <col min="775" max="775" width="10" customWidth="1"/>
    <col min="776" max="776" width="18.75" customWidth="1"/>
    <col min="777" max="777" width="22.5" customWidth="1"/>
    <col min="778" max="778" width="21.25" customWidth="1"/>
    <col min="779" max="779" width="11.125" customWidth="1"/>
    <col min="780" max="780" width="22.375" customWidth="1"/>
    <col min="781" max="781" width="21.25" customWidth="1"/>
    <col min="782" max="782" width="11.25" customWidth="1"/>
    <col min="783" max="783" width="0" hidden="1" customWidth="1"/>
    <col min="1025" max="1025" width="4.5" customWidth="1"/>
    <col min="1026" max="1026" width="24.375" customWidth="1"/>
    <col min="1027" max="1027" width="28.25" customWidth="1"/>
    <col min="1028" max="1028" width="0" hidden="1" customWidth="1"/>
    <col min="1029" max="1030" width="10.375" customWidth="1"/>
    <col min="1031" max="1031" width="10" customWidth="1"/>
    <col min="1032" max="1032" width="18.75" customWidth="1"/>
    <col min="1033" max="1033" width="22.5" customWidth="1"/>
    <col min="1034" max="1034" width="21.25" customWidth="1"/>
    <col min="1035" max="1035" width="11.125" customWidth="1"/>
    <col min="1036" max="1036" width="22.375" customWidth="1"/>
    <col min="1037" max="1037" width="21.25" customWidth="1"/>
    <col min="1038" max="1038" width="11.25" customWidth="1"/>
    <col min="1039" max="1039" width="0" hidden="1" customWidth="1"/>
    <col min="1281" max="1281" width="4.5" customWidth="1"/>
    <col min="1282" max="1282" width="24.375" customWidth="1"/>
    <col min="1283" max="1283" width="28.25" customWidth="1"/>
    <col min="1284" max="1284" width="0" hidden="1" customWidth="1"/>
    <col min="1285" max="1286" width="10.375" customWidth="1"/>
    <col min="1287" max="1287" width="10" customWidth="1"/>
    <col min="1288" max="1288" width="18.75" customWidth="1"/>
    <col min="1289" max="1289" width="22.5" customWidth="1"/>
    <col min="1290" max="1290" width="21.25" customWidth="1"/>
    <col min="1291" max="1291" width="11.125" customWidth="1"/>
    <col min="1292" max="1292" width="22.375" customWidth="1"/>
    <col min="1293" max="1293" width="21.25" customWidth="1"/>
    <col min="1294" max="1294" width="11.25" customWidth="1"/>
    <col min="1295" max="1295" width="0" hidden="1" customWidth="1"/>
    <col min="1537" max="1537" width="4.5" customWidth="1"/>
    <col min="1538" max="1538" width="24.375" customWidth="1"/>
    <col min="1539" max="1539" width="28.25" customWidth="1"/>
    <col min="1540" max="1540" width="0" hidden="1" customWidth="1"/>
    <col min="1541" max="1542" width="10.375" customWidth="1"/>
    <col min="1543" max="1543" width="10" customWidth="1"/>
    <col min="1544" max="1544" width="18.75" customWidth="1"/>
    <col min="1545" max="1545" width="22.5" customWidth="1"/>
    <col min="1546" max="1546" width="21.25" customWidth="1"/>
    <col min="1547" max="1547" width="11.125" customWidth="1"/>
    <col min="1548" max="1548" width="22.375" customWidth="1"/>
    <col min="1549" max="1549" width="21.25" customWidth="1"/>
    <col min="1550" max="1550" width="11.25" customWidth="1"/>
    <col min="1551" max="1551" width="0" hidden="1" customWidth="1"/>
    <col min="1793" max="1793" width="4.5" customWidth="1"/>
    <col min="1794" max="1794" width="24.375" customWidth="1"/>
    <col min="1795" max="1795" width="28.25" customWidth="1"/>
    <col min="1796" max="1796" width="0" hidden="1" customWidth="1"/>
    <col min="1797" max="1798" width="10.375" customWidth="1"/>
    <col min="1799" max="1799" width="10" customWidth="1"/>
    <col min="1800" max="1800" width="18.75" customWidth="1"/>
    <col min="1801" max="1801" width="22.5" customWidth="1"/>
    <col min="1802" max="1802" width="21.25" customWidth="1"/>
    <col min="1803" max="1803" width="11.125" customWidth="1"/>
    <col min="1804" max="1804" width="22.375" customWidth="1"/>
    <col min="1805" max="1805" width="21.25" customWidth="1"/>
    <col min="1806" max="1806" width="11.25" customWidth="1"/>
    <col min="1807" max="1807" width="0" hidden="1" customWidth="1"/>
    <col min="2049" max="2049" width="4.5" customWidth="1"/>
    <col min="2050" max="2050" width="24.375" customWidth="1"/>
    <col min="2051" max="2051" width="28.25" customWidth="1"/>
    <col min="2052" max="2052" width="0" hidden="1" customWidth="1"/>
    <col min="2053" max="2054" width="10.375" customWidth="1"/>
    <col min="2055" max="2055" width="10" customWidth="1"/>
    <col min="2056" max="2056" width="18.75" customWidth="1"/>
    <col min="2057" max="2057" width="22.5" customWidth="1"/>
    <col min="2058" max="2058" width="21.25" customWidth="1"/>
    <col min="2059" max="2059" width="11.125" customWidth="1"/>
    <col min="2060" max="2060" width="22.375" customWidth="1"/>
    <col min="2061" max="2061" width="21.25" customWidth="1"/>
    <col min="2062" max="2062" width="11.25" customWidth="1"/>
    <col min="2063" max="2063" width="0" hidden="1" customWidth="1"/>
    <col min="2305" max="2305" width="4.5" customWidth="1"/>
    <col min="2306" max="2306" width="24.375" customWidth="1"/>
    <col min="2307" max="2307" width="28.25" customWidth="1"/>
    <col min="2308" max="2308" width="0" hidden="1" customWidth="1"/>
    <col min="2309" max="2310" width="10.375" customWidth="1"/>
    <col min="2311" max="2311" width="10" customWidth="1"/>
    <col min="2312" max="2312" width="18.75" customWidth="1"/>
    <col min="2313" max="2313" width="22.5" customWidth="1"/>
    <col min="2314" max="2314" width="21.25" customWidth="1"/>
    <col min="2315" max="2315" width="11.125" customWidth="1"/>
    <col min="2316" max="2316" width="22.375" customWidth="1"/>
    <col min="2317" max="2317" width="21.25" customWidth="1"/>
    <col min="2318" max="2318" width="11.25" customWidth="1"/>
    <col min="2319" max="2319" width="0" hidden="1" customWidth="1"/>
    <col min="2561" max="2561" width="4.5" customWidth="1"/>
    <col min="2562" max="2562" width="24.375" customWidth="1"/>
    <col min="2563" max="2563" width="28.25" customWidth="1"/>
    <col min="2564" max="2564" width="0" hidden="1" customWidth="1"/>
    <col min="2565" max="2566" width="10.375" customWidth="1"/>
    <col min="2567" max="2567" width="10" customWidth="1"/>
    <col min="2568" max="2568" width="18.75" customWidth="1"/>
    <col min="2569" max="2569" width="22.5" customWidth="1"/>
    <col min="2570" max="2570" width="21.25" customWidth="1"/>
    <col min="2571" max="2571" width="11.125" customWidth="1"/>
    <col min="2572" max="2572" width="22.375" customWidth="1"/>
    <col min="2573" max="2573" width="21.25" customWidth="1"/>
    <col min="2574" max="2574" width="11.25" customWidth="1"/>
    <col min="2575" max="2575" width="0" hidden="1" customWidth="1"/>
    <col min="2817" max="2817" width="4.5" customWidth="1"/>
    <col min="2818" max="2818" width="24.375" customWidth="1"/>
    <col min="2819" max="2819" width="28.25" customWidth="1"/>
    <col min="2820" max="2820" width="0" hidden="1" customWidth="1"/>
    <col min="2821" max="2822" width="10.375" customWidth="1"/>
    <col min="2823" max="2823" width="10" customWidth="1"/>
    <col min="2824" max="2824" width="18.75" customWidth="1"/>
    <col min="2825" max="2825" width="22.5" customWidth="1"/>
    <col min="2826" max="2826" width="21.25" customWidth="1"/>
    <col min="2827" max="2827" width="11.125" customWidth="1"/>
    <col min="2828" max="2828" width="22.375" customWidth="1"/>
    <col min="2829" max="2829" width="21.25" customWidth="1"/>
    <col min="2830" max="2830" width="11.25" customWidth="1"/>
    <col min="2831" max="2831" width="0" hidden="1" customWidth="1"/>
    <col min="3073" max="3073" width="4.5" customWidth="1"/>
    <col min="3074" max="3074" width="24.375" customWidth="1"/>
    <col min="3075" max="3075" width="28.25" customWidth="1"/>
    <col min="3076" max="3076" width="0" hidden="1" customWidth="1"/>
    <col min="3077" max="3078" width="10.375" customWidth="1"/>
    <col min="3079" max="3079" width="10" customWidth="1"/>
    <col min="3080" max="3080" width="18.75" customWidth="1"/>
    <col min="3081" max="3081" width="22.5" customWidth="1"/>
    <col min="3082" max="3082" width="21.25" customWidth="1"/>
    <col min="3083" max="3083" width="11.125" customWidth="1"/>
    <col min="3084" max="3084" width="22.375" customWidth="1"/>
    <col min="3085" max="3085" width="21.25" customWidth="1"/>
    <col min="3086" max="3086" width="11.25" customWidth="1"/>
    <col min="3087" max="3087" width="0" hidden="1" customWidth="1"/>
    <col min="3329" max="3329" width="4.5" customWidth="1"/>
    <col min="3330" max="3330" width="24.375" customWidth="1"/>
    <col min="3331" max="3331" width="28.25" customWidth="1"/>
    <col min="3332" max="3332" width="0" hidden="1" customWidth="1"/>
    <col min="3333" max="3334" width="10.375" customWidth="1"/>
    <col min="3335" max="3335" width="10" customWidth="1"/>
    <col min="3336" max="3336" width="18.75" customWidth="1"/>
    <col min="3337" max="3337" width="22.5" customWidth="1"/>
    <col min="3338" max="3338" width="21.25" customWidth="1"/>
    <col min="3339" max="3339" width="11.125" customWidth="1"/>
    <col min="3340" max="3340" width="22.375" customWidth="1"/>
    <col min="3341" max="3341" width="21.25" customWidth="1"/>
    <col min="3342" max="3342" width="11.25" customWidth="1"/>
    <col min="3343" max="3343" width="0" hidden="1" customWidth="1"/>
    <col min="3585" max="3585" width="4.5" customWidth="1"/>
    <col min="3586" max="3586" width="24.375" customWidth="1"/>
    <col min="3587" max="3587" width="28.25" customWidth="1"/>
    <col min="3588" max="3588" width="0" hidden="1" customWidth="1"/>
    <col min="3589" max="3590" width="10.375" customWidth="1"/>
    <col min="3591" max="3591" width="10" customWidth="1"/>
    <col min="3592" max="3592" width="18.75" customWidth="1"/>
    <col min="3593" max="3593" width="22.5" customWidth="1"/>
    <col min="3594" max="3594" width="21.25" customWidth="1"/>
    <col min="3595" max="3595" width="11.125" customWidth="1"/>
    <col min="3596" max="3596" width="22.375" customWidth="1"/>
    <col min="3597" max="3597" width="21.25" customWidth="1"/>
    <col min="3598" max="3598" width="11.25" customWidth="1"/>
    <col min="3599" max="3599" width="0" hidden="1" customWidth="1"/>
    <col min="3841" max="3841" width="4.5" customWidth="1"/>
    <col min="3842" max="3842" width="24.375" customWidth="1"/>
    <col min="3843" max="3843" width="28.25" customWidth="1"/>
    <col min="3844" max="3844" width="0" hidden="1" customWidth="1"/>
    <col min="3845" max="3846" width="10.375" customWidth="1"/>
    <col min="3847" max="3847" width="10" customWidth="1"/>
    <col min="3848" max="3848" width="18.75" customWidth="1"/>
    <col min="3849" max="3849" width="22.5" customWidth="1"/>
    <col min="3850" max="3850" width="21.25" customWidth="1"/>
    <col min="3851" max="3851" width="11.125" customWidth="1"/>
    <col min="3852" max="3852" width="22.375" customWidth="1"/>
    <col min="3853" max="3853" width="21.25" customWidth="1"/>
    <col min="3854" max="3854" width="11.25" customWidth="1"/>
    <col min="3855" max="3855" width="0" hidden="1" customWidth="1"/>
    <col min="4097" max="4097" width="4.5" customWidth="1"/>
    <col min="4098" max="4098" width="24.375" customWidth="1"/>
    <col min="4099" max="4099" width="28.25" customWidth="1"/>
    <col min="4100" max="4100" width="0" hidden="1" customWidth="1"/>
    <col min="4101" max="4102" width="10.375" customWidth="1"/>
    <col min="4103" max="4103" width="10" customWidth="1"/>
    <col min="4104" max="4104" width="18.75" customWidth="1"/>
    <col min="4105" max="4105" width="22.5" customWidth="1"/>
    <col min="4106" max="4106" width="21.25" customWidth="1"/>
    <col min="4107" max="4107" width="11.125" customWidth="1"/>
    <col min="4108" max="4108" width="22.375" customWidth="1"/>
    <col min="4109" max="4109" width="21.25" customWidth="1"/>
    <col min="4110" max="4110" width="11.25" customWidth="1"/>
    <col min="4111" max="4111" width="0" hidden="1" customWidth="1"/>
    <col min="4353" max="4353" width="4.5" customWidth="1"/>
    <col min="4354" max="4354" width="24.375" customWidth="1"/>
    <col min="4355" max="4355" width="28.25" customWidth="1"/>
    <col min="4356" max="4356" width="0" hidden="1" customWidth="1"/>
    <col min="4357" max="4358" width="10.375" customWidth="1"/>
    <col min="4359" max="4359" width="10" customWidth="1"/>
    <col min="4360" max="4360" width="18.75" customWidth="1"/>
    <col min="4361" max="4361" width="22.5" customWidth="1"/>
    <col min="4362" max="4362" width="21.25" customWidth="1"/>
    <col min="4363" max="4363" width="11.125" customWidth="1"/>
    <col min="4364" max="4364" width="22.375" customWidth="1"/>
    <col min="4365" max="4365" width="21.25" customWidth="1"/>
    <col min="4366" max="4366" width="11.25" customWidth="1"/>
    <col min="4367" max="4367" width="0" hidden="1" customWidth="1"/>
    <col min="4609" max="4609" width="4.5" customWidth="1"/>
    <col min="4610" max="4610" width="24.375" customWidth="1"/>
    <col min="4611" max="4611" width="28.25" customWidth="1"/>
    <col min="4612" max="4612" width="0" hidden="1" customWidth="1"/>
    <col min="4613" max="4614" width="10.375" customWidth="1"/>
    <col min="4615" max="4615" width="10" customWidth="1"/>
    <col min="4616" max="4616" width="18.75" customWidth="1"/>
    <col min="4617" max="4617" width="22.5" customWidth="1"/>
    <col min="4618" max="4618" width="21.25" customWidth="1"/>
    <col min="4619" max="4619" width="11.125" customWidth="1"/>
    <col min="4620" max="4620" width="22.375" customWidth="1"/>
    <col min="4621" max="4621" width="21.25" customWidth="1"/>
    <col min="4622" max="4622" width="11.25" customWidth="1"/>
    <col min="4623" max="4623" width="0" hidden="1" customWidth="1"/>
    <col min="4865" max="4865" width="4.5" customWidth="1"/>
    <col min="4866" max="4866" width="24.375" customWidth="1"/>
    <col min="4867" max="4867" width="28.25" customWidth="1"/>
    <col min="4868" max="4868" width="0" hidden="1" customWidth="1"/>
    <col min="4869" max="4870" width="10.375" customWidth="1"/>
    <col min="4871" max="4871" width="10" customWidth="1"/>
    <col min="4872" max="4872" width="18.75" customWidth="1"/>
    <col min="4873" max="4873" width="22.5" customWidth="1"/>
    <col min="4874" max="4874" width="21.25" customWidth="1"/>
    <col min="4875" max="4875" width="11.125" customWidth="1"/>
    <col min="4876" max="4876" width="22.375" customWidth="1"/>
    <col min="4877" max="4877" width="21.25" customWidth="1"/>
    <col min="4878" max="4878" width="11.25" customWidth="1"/>
    <col min="4879" max="4879" width="0" hidden="1" customWidth="1"/>
    <col min="5121" max="5121" width="4.5" customWidth="1"/>
    <col min="5122" max="5122" width="24.375" customWidth="1"/>
    <col min="5123" max="5123" width="28.25" customWidth="1"/>
    <col min="5124" max="5124" width="0" hidden="1" customWidth="1"/>
    <col min="5125" max="5126" width="10.375" customWidth="1"/>
    <col min="5127" max="5127" width="10" customWidth="1"/>
    <col min="5128" max="5128" width="18.75" customWidth="1"/>
    <col min="5129" max="5129" width="22.5" customWidth="1"/>
    <col min="5130" max="5130" width="21.25" customWidth="1"/>
    <col min="5131" max="5131" width="11.125" customWidth="1"/>
    <col min="5132" max="5132" width="22.375" customWidth="1"/>
    <col min="5133" max="5133" width="21.25" customWidth="1"/>
    <col min="5134" max="5134" width="11.25" customWidth="1"/>
    <col min="5135" max="5135" width="0" hidden="1" customWidth="1"/>
    <col min="5377" max="5377" width="4.5" customWidth="1"/>
    <col min="5378" max="5378" width="24.375" customWidth="1"/>
    <col min="5379" max="5379" width="28.25" customWidth="1"/>
    <col min="5380" max="5380" width="0" hidden="1" customWidth="1"/>
    <col min="5381" max="5382" width="10.375" customWidth="1"/>
    <col min="5383" max="5383" width="10" customWidth="1"/>
    <col min="5384" max="5384" width="18.75" customWidth="1"/>
    <col min="5385" max="5385" width="22.5" customWidth="1"/>
    <col min="5386" max="5386" width="21.25" customWidth="1"/>
    <col min="5387" max="5387" width="11.125" customWidth="1"/>
    <col min="5388" max="5388" width="22.375" customWidth="1"/>
    <col min="5389" max="5389" width="21.25" customWidth="1"/>
    <col min="5390" max="5390" width="11.25" customWidth="1"/>
    <col min="5391" max="5391" width="0" hidden="1" customWidth="1"/>
    <col min="5633" max="5633" width="4.5" customWidth="1"/>
    <col min="5634" max="5634" width="24.375" customWidth="1"/>
    <col min="5635" max="5635" width="28.25" customWidth="1"/>
    <col min="5636" max="5636" width="0" hidden="1" customWidth="1"/>
    <col min="5637" max="5638" width="10.375" customWidth="1"/>
    <col min="5639" max="5639" width="10" customWidth="1"/>
    <col min="5640" max="5640" width="18.75" customWidth="1"/>
    <col min="5641" max="5641" width="22.5" customWidth="1"/>
    <col min="5642" max="5642" width="21.25" customWidth="1"/>
    <col min="5643" max="5643" width="11.125" customWidth="1"/>
    <col min="5644" max="5644" width="22.375" customWidth="1"/>
    <col min="5645" max="5645" width="21.25" customWidth="1"/>
    <col min="5646" max="5646" width="11.25" customWidth="1"/>
    <col min="5647" max="5647" width="0" hidden="1" customWidth="1"/>
    <col min="5889" max="5889" width="4.5" customWidth="1"/>
    <col min="5890" max="5890" width="24.375" customWidth="1"/>
    <col min="5891" max="5891" width="28.25" customWidth="1"/>
    <col min="5892" max="5892" width="0" hidden="1" customWidth="1"/>
    <col min="5893" max="5894" width="10.375" customWidth="1"/>
    <col min="5895" max="5895" width="10" customWidth="1"/>
    <col min="5896" max="5896" width="18.75" customWidth="1"/>
    <col min="5897" max="5897" width="22.5" customWidth="1"/>
    <col min="5898" max="5898" width="21.25" customWidth="1"/>
    <col min="5899" max="5899" width="11.125" customWidth="1"/>
    <col min="5900" max="5900" width="22.375" customWidth="1"/>
    <col min="5901" max="5901" width="21.25" customWidth="1"/>
    <col min="5902" max="5902" width="11.25" customWidth="1"/>
    <col min="5903" max="5903" width="0" hidden="1" customWidth="1"/>
    <col min="6145" max="6145" width="4.5" customWidth="1"/>
    <col min="6146" max="6146" width="24.375" customWidth="1"/>
    <col min="6147" max="6147" width="28.25" customWidth="1"/>
    <col min="6148" max="6148" width="0" hidden="1" customWidth="1"/>
    <col min="6149" max="6150" width="10.375" customWidth="1"/>
    <col min="6151" max="6151" width="10" customWidth="1"/>
    <col min="6152" max="6152" width="18.75" customWidth="1"/>
    <col min="6153" max="6153" width="22.5" customWidth="1"/>
    <col min="6154" max="6154" width="21.25" customWidth="1"/>
    <col min="6155" max="6155" width="11.125" customWidth="1"/>
    <col min="6156" max="6156" width="22.375" customWidth="1"/>
    <col min="6157" max="6157" width="21.25" customWidth="1"/>
    <col min="6158" max="6158" width="11.25" customWidth="1"/>
    <col min="6159" max="6159" width="0" hidden="1" customWidth="1"/>
    <col min="6401" max="6401" width="4.5" customWidth="1"/>
    <col min="6402" max="6402" width="24.375" customWidth="1"/>
    <col min="6403" max="6403" width="28.25" customWidth="1"/>
    <col min="6404" max="6404" width="0" hidden="1" customWidth="1"/>
    <col min="6405" max="6406" width="10.375" customWidth="1"/>
    <col min="6407" max="6407" width="10" customWidth="1"/>
    <col min="6408" max="6408" width="18.75" customWidth="1"/>
    <col min="6409" max="6409" width="22.5" customWidth="1"/>
    <col min="6410" max="6410" width="21.25" customWidth="1"/>
    <col min="6411" max="6411" width="11.125" customWidth="1"/>
    <col min="6412" max="6412" width="22.375" customWidth="1"/>
    <col min="6413" max="6413" width="21.25" customWidth="1"/>
    <col min="6414" max="6414" width="11.25" customWidth="1"/>
    <col min="6415" max="6415" width="0" hidden="1" customWidth="1"/>
    <col min="6657" max="6657" width="4.5" customWidth="1"/>
    <col min="6658" max="6658" width="24.375" customWidth="1"/>
    <col min="6659" max="6659" width="28.25" customWidth="1"/>
    <col min="6660" max="6660" width="0" hidden="1" customWidth="1"/>
    <col min="6661" max="6662" width="10.375" customWidth="1"/>
    <col min="6663" max="6663" width="10" customWidth="1"/>
    <col min="6664" max="6664" width="18.75" customWidth="1"/>
    <col min="6665" max="6665" width="22.5" customWidth="1"/>
    <col min="6666" max="6666" width="21.25" customWidth="1"/>
    <col min="6667" max="6667" width="11.125" customWidth="1"/>
    <col min="6668" max="6668" width="22.375" customWidth="1"/>
    <col min="6669" max="6669" width="21.25" customWidth="1"/>
    <col min="6670" max="6670" width="11.25" customWidth="1"/>
    <col min="6671" max="6671" width="0" hidden="1" customWidth="1"/>
    <col min="6913" max="6913" width="4.5" customWidth="1"/>
    <col min="6914" max="6914" width="24.375" customWidth="1"/>
    <col min="6915" max="6915" width="28.25" customWidth="1"/>
    <col min="6916" max="6916" width="0" hidden="1" customWidth="1"/>
    <col min="6917" max="6918" width="10.375" customWidth="1"/>
    <col min="6919" max="6919" width="10" customWidth="1"/>
    <col min="6920" max="6920" width="18.75" customWidth="1"/>
    <col min="6921" max="6921" width="22.5" customWidth="1"/>
    <col min="6922" max="6922" width="21.25" customWidth="1"/>
    <col min="6923" max="6923" width="11.125" customWidth="1"/>
    <col min="6924" max="6924" width="22.375" customWidth="1"/>
    <col min="6925" max="6925" width="21.25" customWidth="1"/>
    <col min="6926" max="6926" width="11.25" customWidth="1"/>
    <col min="6927" max="6927" width="0" hidden="1" customWidth="1"/>
    <col min="7169" max="7169" width="4.5" customWidth="1"/>
    <col min="7170" max="7170" width="24.375" customWidth="1"/>
    <col min="7171" max="7171" width="28.25" customWidth="1"/>
    <col min="7172" max="7172" width="0" hidden="1" customWidth="1"/>
    <col min="7173" max="7174" width="10.375" customWidth="1"/>
    <col min="7175" max="7175" width="10" customWidth="1"/>
    <col min="7176" max="7176" width="18.75" customWidth="1"/>
    <col min="7177" max="7177" width="22.5" customWidth="1"/>
    <col min="7178" max="7178" width="21.25" customWidth="1"/>
    <col min="7179" max="7179" width="11.125" customWidth="1"/>
    <col min="7180" max="7180" width="22.375" customWidth="1"/>
    <col min="7181" max="7181" width="21.25" customWidth="1"/>
    <col min="7182" max="7182" width="11.25" customWidth="1"/>
    <col min="7183" max="7183" width="0" hidden="1" customWidth="1"/>
    <col min="7425" max="7425" width="4.5" customWidth="1"/>
    <col min="7426" max="7426" width="24.375" customWidth="1"/>
    <col min="7427" max="7427" width="28.25" customWidth="1"/>
    <col min="7428" max="7428" width="0" hidden="1" customWidth="1"/>
    <col min="7429" max="7430" width="10.375" customWidth="1"/>
    <col min="7431" max="7431" width="10" customWidth="1"/>
    <col min="7432" max="7432" width="18.75" customWidth="1"/>
    <col min="7433" max="7433" width="22.5" customWidth="1"/>
    <col min="7434" max="7434" width="21.25" customWidth="1"/>
    <col min="7435" max="7435" width="11.125" customWidth="1"/>
    <col min="7436" max="7436" width="22.375" customWidth="1"/>
    <col min="7437" max="7437" width="21.25" customWidth="1"/>
    <col min="7438" max="7438" width="11.25" customWidth="1"/>
    <col min="7439" max="7439" width="0" hidden="1" customWidth="1"/>
    <col min="7681" max="7681" width="4.5" customWidth="1"/>
    <col min="7682" max="7682" width="24.375" customWidth="1"/>
    <col min="7683" max="7683" width="28.25" customWidth="1"/>
    <col min="7684" max="7684" width="0" hidden="1" customWidth="1"/>
    <col min="7685" max="7686" width="10.375" customWidth="1"/>
    <col min="7687" max="7687" width="10" customWidth="1"/>
    <col min="7688" max="7688" width="18.75" customWidth="1"/>
    <col min="7689" max="7689" width="22.5" customWidth="1"/>
    <col min="7690" max="7690" width="21.25" customWidth="1"/>
    <col min="7691" max="7691" width="11.125" customWidth="1"/>
    <col min="7692" max="7692" width="22.375" customWidth="1"/>
    <col min="7693" max="7693" width="21.25" customWidth="1"/>
    <col min="7694" max="7694" width="11.25" customWidth="1"/>
    <col min="7695" max="7695" width="0" hidden="1" customWidth="1"/>
    <col min="7937" max="7937" width="4.5" customWidth="1"/>
    <col min="7938" max="7938" width="24.375" customWidth="1"/>
    <col min="7939" max="7939" width="28.25" customWidth="1"/>
    <col min="7940" max="7940" width="0" hidden="1" customWidth="1"/>
    <col min="7941" max="7942" width="10.375" customWidth="1"/>
    <col min="7943" max="7943" width="10" customWidth="1"/>
    <col min="7944" max="7944" width="18.75" customWidth="1"/>
    <col min="7945" max="7945" width="22.5" customWidth="1"/>
    <col min="7946" max="7946" width="21.25" customWidth="1"/>
    <col min="7947" max="7947" width="11.125" customWidth="1"/>
    <col min="7948" max="7948" width="22.375" customWidth="1"/>
    <col min="7949" max="7949" width="21.25" customWidth="1"/>
    <col min="7950" max="7950" width="11.25" customWidth="1"/>
    <col min="7951" max="7951" width="0" hidden="1" customWidth="1"/>
    <col min="8193" max="8193" width="4.5" customWidth="1"/>
    <col min="8194" max="8194" width="24.375" customWidth="1"/>
    <col min="8195" max="8195" width="28.25" customWidth="1"/>
    <col min="8196" max="8196" width="0" hidden="1" customWidth="1"/>
    <col min="8197" max="8198" width="10.375" customWidth="1"/>
    <col min="8199" max="8199" width="10" customWidth="1"/>
    <col min="8200" max="8200" width="18.75" customWidth="1"/>
    <col min="8201" max="8201" width="22.5" customWidth="1"/>
    <col min="8202" max="8202" width="21.25" customWidth="1"/>
    <col min="8203" max="8203" width="11.125" customWidth="1"/>
    <col min="8204" max="8204" width="22.375" customWidth="1"/>
    <col min="8205" max="8205" width="21.25" customWidth="1"/>
    <col min="8206" max="8206" width="11.25" customWidth="1"/>
    <col min="8207" max="8207" width="0" hidden="1" customWidth="1"/>
    <col min="8449" max="8449" width="4.5" customWidth="1"/>
    <col min="8450" max="8450" width="24.375" customWidth="1"/>
    <col min="8451" max="8451" width="28.25" customWidth="1"/>
    <col min="8452" max="8452" width="0" hidden="1" customWidth="1"/>
    <col min="8453" max="8454" width="10.375" customWidth="1"/>
    <col min="8455" max="8455" width="10" customWidth="1"/>
    <col min="8456" max="8456" width="18.75" customWidth="1"/>
    <col min="8457" max="8457" width="22.5" customWidth="1"/>
    <col min="8458" max="8458" width="21.25" customWidth="1"/>
    <col min="8459" max="8459" width="11.125" customWidth="1"/>
    <col min="8460" max="8460" width="22.375" customWidth="1"/>
    <col min="8461" max="8461" width="21.25" customWidth="1"/>
    <col min="8462" max="8462" width="11.25" customWidth="1"/>
    <col min="8463" max="8463" width="0" hidden="1" customWidth="1"/>
    <col min="8705" max="8705" width="4.5" customWidth="1"/>
    <col min="8706" max="8706" width="24.375" customWidth="1"/>
    <col min="8707" max="8707" width="28.25" customWidth="1"/>
    <col min="8708" max="8708" width="0" hidden="1" customWidth="1"/>
    <col min="8709" max="8710" width="10.375" customWidth="1"/>
    <col min="8711" max="8711" width="10" customWidth="1"/>
    <col min="8712" max="8712" width="18.75" customWidth="1"/>
    <col min="8713" max="8713" width="22.5" customWidth="1"/>
    <col min="8714" max="8714" width="21.25" customWidth="1"/>
    <col min="8715" max="8715" width="11.125" customWidth="1"/>
    <col min="8716" max="8716" width="22.375" customWidth="1"/>
    <col min="8717" max="8717" width="21.25" customWidth="1"/>
    <col min="8718" max="8718" width="11.25" customWidth="1"/>
    <col min="8719" max="8719" width="0" hidden="1" customWidth="1"/>
    <col min="8961" max="8961" width="4.5" customWidth="1"/>
    <col min="8962" max="8962" width="24.375" customWidth="1"/>
    <col min="8963" max="8963" width="28.25" customWidth="1"/>
    <col min="8964" max="8964" width="0" hidden="1" customWidth="1"/>
    <col min="8965" max="8966" width="10.375" customWidth="1"/>
    <col min="8967" max="8967" width="10" customWidth="1"/>
    <col min="8968" max="8968" width="18.75" customWidth="1"/>
    <col min="8969" max="8969" width="22.5" customWidth="1"/>
    <col min="8970" max="8970" width="21.25" customWidth="1"/>
    <col min="8971" max="8971" width="11.125" customWidth="1"/>
    <col min="8972" max="8972" width="22.375" customWidth="1"/>
    <col min="8973" max="8973" width="21.25" customWidth="1"/>
    <col min="8974" max="8974" width="11.25" customWidth="1"/>
    <col min="8975" max="8975" width="0" hidden="1" customWidth="1"/>
    <col min="9217" max="9217" width="4.5" customWidth="1"/>
    <col min="9218" max="9218" width="24.375" customWidth="1"/>
    <col min="9219" max="9219" width="28.25" customWidth="1"/>
    <col min="9220" max="9220" width="0" hidden="1" customWidth="1"/>
    <col min="9221" max="9222" width="10.375" customWidth="1"/>
    <col min="9223" max="9223" width="10" customWidth="1"/>
    <col min="9224" max="9224" width="18.75" customWidth="1"/>
    <col min="9225" max="9225" width="22.5" customWidth="1"/>
    <col min="9226" max="9226" width="21.25" customWidth="1"/>
    <col min="9227" max="9227" width="11.125" customWidth="1"/>
    <col min="9228" max="9228" width="22.375" customWidth="1"/>
    <col min="9229" max="9229" width="21.25" customWidth="1"/>
    <col min="9230" max="9230" width="11.25" customWidth="1"/>
    <col min="9231" max="9231" width="0" hidden="1" customWidth="1"/>
    <col min="9473" max="9473" width="4.5" customWidth="1"/>
    <col min="9474" max="9474" width="24.375" customWidth="1"/>
    <col min="9475" max="9475" width="28.25" customWidth="1"/>
    <col min="9476" max="9476" width="0" hidden="1" customWidth="1"/>
    <col min="9477" max="9478" width="10.375" customWidth="1"/>
    <col min="9479" max="9479" width="10" customWidth="1"/>
    <col min="9480" max="9480" width="18.75" customWidth="1"/>
    <col min="9481" max="9481" width="22.5" customWidth="1"/>
    <col min="9482" max="9482" width="21.25" customWidth="1"/>
    <col min="9483" max="9483" width="11.125" customWidth="1"/>
    <col min="9484" max="9484" width="22.375" customWidth="1"/>
    <col min="9485" max="9485" width="21.25" customWidth="1"/>
    <col min="9486" max="9486" width="11.25" customWidth="1"/>
    <col min="9487" max="9487" width="0" hidden="1" customWidth="1"/>
    <col min="9729" max="9729" width="4.5" customWidth="1"/>
    <col min="9730" max="9730" width="24.375" customWidth="1"/>
    <col min="9731" max="9731" width="28.25" customWidth="1"/>
    <col min="9732" max="9732" width="0" hidden="1" customWidth="1"/>
    <col min="9733" max="9734" width="10.375" customWidth="1"/>
    <col min="9735" max="9735" width="10" customWidth="1"/>
    <col min="9736" max="9736" width="18.75" customWidth="1"/>
    <col min="9737" max="9737" width="22.5" customWidth="1"/>
    <col min="9738" max="9738" width="21.25" customWidth="1"/>
    <col min="9739" max="9739" width="11.125" customWidth="1"/>
    <col min="9740" max="9740" width="22.375" customWidth="1"/>
    <col min="9741" max="9741" width="21.25" customWidth="1"/>
    <col min="9742" max="9742" width="11.25" customWidth="1"/>
    <col min="9743" max="9743" width="0" hidden="1" customWidth="1"/>
    <col min="9985" max="9985" width="4.5" customWidth="1"/>
    <col min="9986" max="9986" width="24.375" customWidth="1"/>
    <col min="9987" max="9987" width="28.25" customWidth="1"/>
    <col min="9988" max="9988" width="0" hidden="1" customWidth="1"/>
    <col min="9989" max="9990" width="10.375" customWidth="1"/>
    <col min="9991" max="9991" width="10" customWidth="1"/>
    <col min="9992" max="9992" width="18.75" customWidth="1"/>
    <col min="9993" max="9993" width="22.5" customWidth="1"/>
    <col min="9994" max="9994" width="21.25" customWidth="1"/>
    <col min="9995" max="9995" width="11.125" customWidth="1"/>
    <col min="9996" max="9996" width="22.375" customWidth="1"/>
    <col min="9997" max="9997" width="21.25" customWidth="1"/>
    <col min="9998" max="9998" width="11.25" customWidth="1"/>
    <col min="9999" max="9999" width="0" hidden="1" customWidth="1"/>
    <col min="10241" max="10241" width="4.5" customWidth="1"/>
    <col min="10242" max="10242" width="24.375" customWidth="1"/>
    <col min="10243" max="10243" width="28.25" customWidth="1"/>
    <col min="10244" max="10244" width="0" hidden="1" customWidth="1"/>
    <col min="10245" max="10246" width="10.375" customWidth="1"/>
    <col min="10247" max="10247" width="10" customWidth="1"/>
    <col min="10248" max="10248" width="18.75" customWidth="1"/>
    <col min="10249" max="10249" width="22.5" customWidth="1"/>
    <col min="10250" max="10250" width="21.25" customWidth="1"/>
    <col min="10251" max="10251" width="11.125" customWidth="1"/>
    <col min="10252" max="10252" width="22.375" customWidth="1"/>
    <col min="10253" max="10253" width="21.25" customWidth="1"/>
    <col min="10254" max="10254" width="11.25" customWidth="1"/>
    <col min="10255" max="10255" width="0" hidden="1" customWidth="1"/>
    <col min="10497" max="10497" width="4.5" customWidth="1"/>
    <col min="10498" max="10498" width="24.375" customWidth="1"/>
    <col min="10499" max="10499" width="28.25" customWidth="1"/>
    <col min="10500" max="10500" width="0" hidden="1" customWidth="1"/>
    <col min="10501" max="10502" width="10.375" customWidth="1"/>
    <col min="10503" max="10503" width="10" customWidth="1"/>
    <col min="10504" max="10504" width="18.75" customWidth="1"/>
    <col min="10505" max="10505" width="22.5" customWidth="1"/>
    <col min="10506" max="10506" width="21.25" customWidth="1"/>
    <col min="10507" max="10507" width="11.125" customWidth="1"/>
    <col min="10508" max="10508" width="22.375" customWidth="1"/>
    <col min="10509" max="10509" width="21.25" customWidth="1"/>
    <col min="10510" max="10510" width="11.25" customWidth="1"/>
    <col min="10511" max="10511" width="0" hidden="1" customWidth="1"/>
    <col min="10753" max="10753" width="4.5" customWidth="1"/>
    <col min="10754" max="10754" width="24.375" customWidth="1"/>
    <col min="10755" max="10755" width="28.25" customWidth="1"/>
    <col min="10756" max="10756" width="0" hidden="1" customWidth="1"/>
    <col min="10757" max="10758" width="10.375" customWidth="1"/>
    <col min="10759" max="10759" width="10" customWidth="1"/>
    <col min="10760" max="10760" width="18.75" customWidth="1"/>
    <col min="10761" max="10761" width="22.5" customWidth="1"/>
    <col min="10762" max="10762" width="21.25" customWidth="1"/>
    <col min="10763" max="10763" width="11.125" customWidth="1"/>
    <col min="10764" max="10764" width="22.375" customWidth="1"/>
    <col min="10765" max="10765" width="21.25" customWidth="1"/>
    <col min="10766" max="10766" width="11.25" customWidth="1"/>
    <col min="10767" max="10767" width="0" hidden="1" customWidth="1"/>
    <col min="11009" max="11009" width="4.5" customWidth="1"/>
    <col min="11010" max="11010" width="24.375" customWidth="1"/>
    <col min="11011" max="11011" width="28.25" customWidth="1"/>
    <col min="11012" max="11012" width="0" hidden="1" customWidth="1"/>
    <col min="11013" max="11014" width="10.375" customWidth="1"/>
    <col min="11015" max="11015" width="10" customWidth="1"/>
    <col min="11016" max="11016" width="18.75" customWidth="1"/>
    <col min="11017" max="11017" width="22.5" customWidth="1"/>
    <col min="11018" max="11018" width="21.25" customWidth="1"/>
    <col min="11019" max="11019" width="11.125" customWidth="1"/>
    <col min="11020" max="11020" width="22.375" customWidth="1"/>
    <col min="11021" max="11021" width="21.25" customWidth="1"/>
    <col min="11022" max="11022" width="11.25" customWidth="1"/>
    <col min="11023" max="11023" width="0" hidden="1" customWidth="1"/>
    <col min="11265" max="11265" width="4.5" customWidth="1"/>
    <col min="11266" max="11266" width="24.375" customWidth="1"/>
    <col min="11267" max="11267" width="28.25" customWidth="1"/>
    <col min="11268" max="11268" width="0" hidden="1" customWidth="1"/>
    <col min="11269" max="11270" width="10.375" customWidth="1"/>
    <col min="11271" max="11271" width="10" customWidth="1"/>
    <col min="11272" max="11272" width="18.75" customWidth="1"/>
    <col min="11273" max="11273" width="22.5" customWidth="1"/>
    <col min="11274" max="11274" width="21.25" customWidth="1"/>
    <col min="11275" max="11275" width="11.125" customWidth="1"/>
    <col min="11276" max="11276" width="22.375" customWidth="1"/>
    <col min="11277" max="11277" width="21.25" customWidth="1"/>
    <col min="11278" max="11278" width="11.25" customWidth="1"/>
    <col min="11279" max="11279" width="0" hidden="1" customWidth="1"/>
    <col min="11521" max="11521" width="4.5" customWidth="1"/>
    <col min="11522" max="11522" width="24.375" customWidth="1"/>
    <col min="11523" max="11523" width="28.25" customWidth="1"/>
    <col min="11524" max="11524" width="0" hidden="1" customWidth="1"/>
    <col min="11525" max="11526" width="10.375" customWidth="1"/>
    <col min="11527" max="11527" width="10" customWidth="1"/>
    <col min="11528" max="11528" width="18.75" customWidth="1"/>
    <col min="11529" max="11529" width="22.5" customWidth="1"/>
    <col min="11530" max="11530" width="21.25" customWidth="1"/>
    <col min="11531" max="11531" width="11.125" customWidth="1"/>
    <col min="11532" max="11532" width="22.375" customWidth="1"/>
    <col min="11533" max="11533" width="21.25" customWidth="1"/>
    <col min="11534" max="11534" width="11.25" customWidth="1"/>
    <col min="11535" max="11535" width="0" hidden="1" customWidth="1"/>
    <col min="11777" max="11777" width="4.5" customWidth="1"/>
    <col min="11778" max="11778" width="24.375" customWidth="1"/>
    <col min="11779" max="11779" width="28.25" customWidth="1"/>
    <col min="11780" max="11780" width="0" hidden="1" customWidth="1"/>
    <col min="11781" max="11782" width="10.375" customWidth="1"/>
    <col min="11783" max="11783" width="10" customWidth="1"/>
    <col min="11784" max="11784" width="18.75" customWidth="1"/>
    <col min="11785" max="11785" width="22.5" customWidth="1"/>
    <col min="11786" max="11786" width="21.25" customWidth="1"/>
    <col min="11787" max="11787" width="11.125" customWidth="1"/>
    <col min="11788" max="11788" width="22.375" customWidth="1"/>
    <col min="11789" max="11789" width="21.25" customWidth="1"/>
    <col min="11790" max="11790" width="11.25" customWidth="1"/>
    <col min="11791" max="11791" width="0" hidden="1" customWidth="1"/>
    <col min="12033" max="12033" width="4.5" customWidth="1"/>
    <col min="12034" max="12034" width="24.375" customWidth="1"/>
    <col min="12035" max="12035" width="28.25" customWidth="1"/>
    <col min="12036" max="12036" width="0" hidden="1" customWidth="1"/>
    <col min="12037" max="12038" width="10.375" customWidth="1"/>
    <col min="12039" max="12039" width="10" customWidth="1"/>
    <col min="12040" max="12040" width="18.75" customWidth="1"/>
    <col min="12041" max="12041" width="22.5" customWidth="1"/>
    <col min="12042" max="12042" width="21.25" customWidth="1"/>
    <col min="12043" max="12043" width="11.125" customWidth="1"/>
    <col min="12044" max="12044" width="22.375" customWidth="1"/>
    <col min="12045" max="12045" width="21.25" customWidth="1"/>
    <col min="12046" max="12046" width="11.25" customWidth="1"/>
    <col min="12047" max="12047" width="0" hidden="1" customWidth="1"/>
    <col min="12289" max="12289" width="4.5" customWidth="1"/>
    <col min="12290" max="12290" width="24.375" customWidth="1"/>
    <col min="12291" max="12291" width="28.25" customWidth="1"/>
    <col min="12292" max="12292" width="0" hidden="1" customWidth="1"/>
    <col min="12293" max="12294" width="10.375" customWidth="1"/>
    <col min="12295" max="12295" width="10" customWidth="1"/>
    <col min="12296" max="12296" width="18.75" customWidth="1"/>
    <col min="12297" max="12297" width="22.5" customWidth="1"/>
    <col min="12298" max="12298" width="21.25" customWidth="1"/>
    <col min="12299" max="12299" width="11.125" customWidth="1"/>
    <col min="12300" max="12300" width="22.375" customWidth="1"/>
    <col min="12301" max="12301" width="21.25" customWidth="1"/>
    <col min="12302" max="12302" width="11.25" customWidth="1"/>
    <col min="12303" max="12303" width="0" hidden="1" customWidth="1"/>
    <col min="12545" max="12545" width="4.5" customWidth="1"/>
    <col min="12546" max="12546" width="24.375" customWidth="1"/>
    <col min="12547" max="12547" width="28.25" customWidth="1"/>
    <col min="12548" max="12548" width="0" hidden="1" customWidth="1"/>
    <col min="12549" max="12550" width="10.375" customWidth="1"/>
    <col min="12551" max="12551" width="10" customWidth="1"/>
    <col min="12552" max="12552" width="18.75" customWidth="1"/>
    <col min="12553" max="12553" width="22.5" customWidth="1"/>
    <col min="12554" max="12554" width="21.25" customWidth="1"/>
    <col min="12555" max="12555" width="11.125" customWidth="1"/>
    <col min="12556" max="12556" width="22.375" customWidth="1"/>
    <col min="12557" max="12557" width="21.25" customWidth="1"/>
    <col min="12558" max="12558" width="11.25" customWidth="1"/>
    <col min="12559" max="12559" width="0" hidden="1" customWidth="1"/>
    <col min="12801" max="12801" width="4.5" customWidth="1"/>
    <col min="12802" max="12802" width="24.375" customWidth="1"/>
    <col min="12803" max="12803" width="28.25" customWidth="1"/>
    <col min="12804" max="12804" width="0" hidden="1" customWidth="1"/>
    <col min="12805" max="12806" width="10.375" customWidth="1"/>
    <col min="12807" max="12807" width="10" customWidth="1"/>
    <col min="12808" max="12808" width="18.75" customWidth="1"/>
    <col min="12809" max="12809" width="22.5" customWidth="1"/>
    <col min="12810" max="12810" width="21.25" customWidth="1"/>
    <col min="12811" max="12811" width="11.125" customWidth="1"/>
    <col min="12812" max="12812" width="22.375" customWidth="1"/>
    <col min="12813" max="12813" width="21.25" customWidth="1"/>
    <col min="12814" max="12814" width="11.25" customWidth="1"/>
    <col min="12815" max="12815" width="0" hidden="1" customWidth="1"/>
    <col min="13057" max="13057" width="4.5" customWidth="1"/>
    <col min="13058" max="13058" width="24.375" customWidth="1"/>
    <col min="13059" max="13059" width="28.25" customWidth="1"/>
    <col min="13060" max="13060" width="0" hidden="1" customWidth="1"/>
    <col min="13061" max="13062" width="10.375" customWidth="1"/>
    <col min="13063" max="13063" width="10" customWidth="1"/>
    <col min="13064" max="13064" width="18.75" customWidth="1"/>
    <col min="13065" max="13065" width="22.5" customWidth="1"/>
    <col min="13066" max="13066" width="21.25" customWidth="1"/>
    <col min="13067" max="13067" width="11.125" customWidth="1"/>
    <col min="13068" max="13068" width="22.375" customWidth="1"/>
    <col min="13069" max="13069" width="21.25" customWidth="1"/>
    <col min="13070" max="13070" width="11.25" customWidth="1"/>
    <col min="13071" max="13071" width="0" hidden="1" customWidth="1"/>
    <col min="13313" max="13313" width="4.5" customWidth="1"/>
    <col min="13314" max="13314" width="24.375" customWidth="1"/>
    <col min="13315" max="13315" width="28.25" customWidth="1"/>
    <col min="13316" max="13316" width="0" hidden="1" customWidth="1"/>
    <col min="13317" max="13318" width="10.375" customWidth="1"/>
    <col min="13319" max="13319" width="10" customWidth="1"/>
    <col min="13320" max="13320" width="18.75" customWidth="1"/>
    <col min="13321" max="13321" width="22.5" customWidth="1"/>
    <col min="13322" max="13322" width="21.25" customWidth="1"/>
    <col min="13323" max="13323" width="11.125" customWidth="1"/>
    <col min="13324" max="13324" width="22.375" customWidth="1"/>
    <col min="13325" max="13325" width="21.25" customWidth="1"/>
    <col min="13326" max="13326" width="11.25" customWidth="1"/>
    <col min="13327" max="13327" width="0" hidden="1" customWidth="1"/>
    <col min="13569" max="13569" width="4.5" customWidth="1"/>
    <col min="13570" max="13570" width="24.375" customWidth="1"/>
    <col min="13571" max="13571" width="28.25" customWidth="1"/>
    <col min="13572" max="13572" width="0" hidden="1" customWidth="1"/>
    <col min="13573" max="13574" width="10.375" customWidth="1"/>
    <col min="13575" max="13575" width="10" customWidth="1"/>
    <col min="13576" max="13576" width="18.75" customWidth="1"/>
    <col min="13577" max="13577" width="22.5" customWidth="1"/>
    <col min="13578" max="13578" width="21.25" customWidth="1"/>
    <col min="13579" max="13579" width="11.125" customWidth="1"/>
    <col min="13580" max="13580" width="22.375" customWidth="1"/>
    <col min="13581" max="13581" width="21.25" customWidth="1"/>
    <col min="13582" max="13582" width="11.25" customWidth="1"/>
    <col min="13583" max="13583" width="0" hidden="1" customWidth="1"/>
    <col min="13825" max="13825" width="4.5" customWidth="1"/>
    <col min="13826" max="13826" width="24.375" customWidth="1"/>
    <col min="13827" max="13827" width="28.25" customWidth="1"/>
    <col min="13828" max="13828" width="0" hidden="1" customWidth="1"/>
    <col min="13829" max="13830" width="10.375" customWidth="1"/>
    <col min="13831" max="13831" width="10" customWidth="1"/>
    <col min="13832" max="13832" width="18.75" customWidth="1"/>
    <col min="13833" max="13833" width="22.5" customWidth="1"/>
    <col min="13834" max="13834" width="21.25" customWidth="1"/>
    <col min="13835" max="13835" width="11.125" customWidth="1"/>
    <col min="13836" max="13836" width="22.375" customWidth="1"/>
    <col min="13837" max="13837" width="21.25" customWidth="1"/>
    <col min="13838" max="13838" width="11.25" customWidth="1"/>
    <col min="13839" max="13839" width="0" hidden="1" customWidth="1"/>
    <col min="14081" max="14081" width="4.5" customWidth="1"/>
    <col min="14082" max="14082" width="24.375" customWidth="1"/>
    <col min="14083" max="14083" width="28.25" customWidth="1"/>
    <col min="14084" max="14084" width="0" hidden="1" customWidth="1"/>
    <col min="14085" max="14086" width="10.375" customWidth="1"/>
    <col min="14087" max="14087" width="10" customWidth="1"/>
    <col min="14088" max="14088" width="18.75" customWidth="1"/>
    <col min="14089" max="14089" width="22.5" customWidth="1"/>
    <col min="14090" max="14090" width="21.25" customWidth="1"/>
    <col min="14091" max="14091" width="11.125" customWidth="1"/>
    <col min="14092" max="14092" width="22.375" customWidth="1"/>
    <col min="14093" max="14093" width="21.25" customWidth="1"/>
    <col min="14094" max="14094" width="11.25" customWidth="1"/>
    <col min="14095" max="14095" width="0" hidden="1" customWidth="1"/>
    <col min="14337" max="14337" width="4.5" customWidth="1"/>
    <col min="14338" max="14338" width="24.375" customWidth="1"/>
    <col min="14339" max="14339" width="28.25" customWidth="1"/>
    <col min="14340" max="14340" width="0" hidden="1" customWidth="1"/>
    <col min="14341" max="14342" width="10.375" customWidth="1"/>
    <col min="14343" max="14343" width="10" customWidth="1"/>
    <col min="14344" max="14344" width="18.75" customWidth="1"/>
    <col min="14345" max="14345" width="22.5" customWidth="1"/>
    <col min="14346" max="14346" width="21.25" customWidth="1"/>
    <col min="14347" max="14347" width="11.125" customWidth="1"/>
    <col min="14348" max="14348" width="22.375" customWidth="1"/>
    <col min="14349" max="14349" width="21.25" customWidth="1"/>
    <col min="14350" max="14350" width="11.25" customWidth="1"/>
    <col min="14351" max="14351" width="0" hidden="1" customWidth="1"/>
    <col min="14593" max="14593" width="4.5" customWidth="1"/>
    <col min="14594" max="14594" width="24.375" customWidth="1"/>
    <col min="14595" max="14595" width="28.25" customWidth="1"/>
    <col min="14596" max="14596" width="0" hidden="1" customWidth="1"/>
    <col min="14597" max="14598" width="10.375" customWidth="1"/>
    <col min="14599" max="14599" width="10" customWidth="1"/>
    <col min="14600" max="14600" width="18.75" customWidth="1"/>
    <col min="14601" max="14601" width="22.5" customWidth="1"/>
    <col min="14602" max="14602" width="21.25" customWidth="1"/>
    <col min="14603" max="14603" width="11.125" customWidth="1"/>
    <col min="14604" max="14604" width="22.375" customWidth="1"/>
    <col min="14605" max="14605" width="21.25" customWidth="1"/>
    <col min="14606" max="14606" width="11.25" customWidth="1"/>
    <col min="14607" max="14607" width="0" hidden="1" customWidth="1"/>
    <col min="14849" max="14849" width="4.5" customWidth="1"/>
    <col min="14850" max="14850" width="24.375" customWidth="1"/>
    <col min="14851" max="14851" width="28.25" customWidth="1"/>
    <col min="14852" max="14852" width="0" hidden="1" customWidth="1"/>
    <col min="14853" max="14854" width="10.375" customWidth="1"/>
    <col min="14855" max="14855" width="10" customWidth="1"/>
    <col min="14856" max="14856" width="18.75" customWidth="1"/>
    <col min="14857" max="14857" width="22.5" customWidth="1"/>
    <col min="14858" max="14858" width="21.25" customWidth="1"/>
    <col min="14859" max="14859" width="11.125" customWidth="1"/>
    <col min="14860" max="14860" width="22.375" customWidth="1"/>
    <col min="14861" max="14861" width="21.25" customWidth="1"/>
    <col min="14862" max="14862" width="11.25" customWidth="1"/>
    <col min="14863" max="14863" width="0" hidden="1" customWidth="1"/>
    <col min="15105" max="15105" width="4.5" customWidth="1"/>
    <col min="15106" max="15106" width="24.375" customWidth="1"/>
    <col min="15107" max="15107" width="28.25" customWidth="1"/>
    <col min="15108" max="15108" width="0" hidden="1" customWidth="1"/>
    <col min="15109" max="15110" width="10.375" customWidth="1"/>
    <col min="15111" max="15111" width="10" customWidth="1"/>
    <col min="15112" max="15112" width="18.75" customWidth="1"/>
    <col min="15113" max="15113" width="22.5" customWidth="1"/>
    <col min="15114" max="15114" width="21.25" customWidth="1"/>
    <col min="15115" max="15115" width="11.125" customWidth="1"/>
    <col min="15116" max="15116" width="22.375" customWidth="1"/>
    <col min="15117" max="15117" width="21.25" customWidth="1"/>
    <col min="15118" max="15118" width="11.25" customWidth="1"/>
    <col min="15119" max="15119" width="0" hidden="1" customWidth="1"/>
    <col min="15361" max="15361" width="4.5" customWidth="1"/>
    <col min="15362" max="15362" width="24.375" customWidth="1"/>
    <col min="15363" max="15363" width="28.25" customWidth="1"/>
    <col min="15364" max="15364" width="0" hidden="1" customWidth="1"/>
    <col min="15365" max="15366" width="10.375" customWidth="1"/>
    <col min="15367" max="15367" width="10" customWidth="1"/>
    <col min="15368" max="15368" width="18.75" customWidth="1"/>
    <col min="15369" max="15369" width="22.5" customWidth="1"/>
    <col min="15370" max="15370" width="21.25" customWidth="1"/>
    <col min="15371" max="15371" width="11.125" customWidth="1"/>
    <col min="15372" max="15372" width="22.375" customWidth="1"/>
    <col min="15373" max="15373" width="21.25" customWidth="1"/>
    <col min="15374" max="15374" width="11.25" customWidth="1"/>
    <col min="15375" max="15375" width="0" hidden="1" customWidth="1"/>
    <col min="15617" max="15617" width="4.5" customWidth="1"/>
    <col min="15618" max="15618" width="24.375" customWidth="1"/>
    <col min="15619" max="15619" width="28.25" customWidth="1"/>
    <col min="15620" max="15620" width="0" hidden="1" customWidth="1"/>
    <col min="15621" max="15622" width="10.375" customWidth="1"/>
    <col min="15623" max="15623" width="10" customWidth="1"/>
    <col min="15624" max="15624" width="18.75" customWidth="1"/>
    <col min="15625" max="15625" width="22.5" customWidth="1"/>
    <col min="15626" max="15626" width="21.25" customWidth="1"/>
    <col min="15627" max="15627" width="11.125" customWidth="1"/>
    <col min="15628" max="15628" width="22.375" customWidth="1"/>
    <col min="15629" max="15629" width="21.25" customWidth="1"/>
    <col min="15630" max="15630" width="11.25" customWidth="1"/>
    <col min="15631" max="15631" width="0" hidden="1" customWidth="1"/>
    <col min="15873" max="15873" width="4.5" customWidth="1"/>
    <col min="15874" max="15874" width="24.375" customWidth="1"/>
    <col min="15875" max="15875" width="28.25" customWidth="1"/>
    <col min="15876" max="15876" width="0" hidden="1" customWidth="1"/>
    <col min="15877" max="15878" width="10.375" customWidth="1"/>
    <col min="15879" max="15879" width="10" customWidth="1"/>
    <col min="15880" max="15880" width="18.75" customWidth="1"/>
    <col min="15881" max="15881" width="22.5" customWidth="1"/>
    <col min="15882" max="15882" width="21.25" customWidth="1"/>
    <col min="15883" max="15883" width="11.125" customWidth="1"/>
    <col min="15884" max="15884" width="22.375" customWidth="1"/>
    <col min="15885" max="15885" width="21.25" customWidth="1"/>
    <col min="15886" max="15886" width="11.25" customWidth="1"/>
    <col min="15887" max="15887" width="0" hidden="1" customWidth="1"/>
    <col min="16129" max="16129" width="4.5" customWidth="1"/>
    <col min="16130" max="16130" width="24.375" customWidth="1"/>
    <col min="16131" max="16131" width="28.25" customWidth="1"/>
    <col min="16132" max="16132" width="0" hidden="1" customWidth="1"/>
    <col min="16133" max="16134" width="10.375" customWidth="1"/>
    <col min="16135" max="16135" width="10" customWidth="1"/>
    <col min="16136" max="16136" width="18.75" customWidth="1"/>
    <col min="16137" max="16137" width="22.5" customWidth="1"/>
    <col min="16138" max="16138" width="21.25" customWidth="1"/>
    <col min="16139" max="16139" width="11.125" customWidth="1"/>
    <col min="16140" max="16140" width="22.375" customWidth="1"/>
    <col min="16141" max="16141" width="21.25" customWidth="1"/>
    <col min="16142" max="16142" width="11.25" customWidth="1"/>
    <col min="16143" max="16143" width="0" hidden="1" customWidth="1"/>
  </cols>
  <sheetData>
    <row r="1" spans="1:21" s="3" customFormat="1" ht="37.5" customHeight="1" x14ac:dyDescent="0.15">
      <c r="A1" s="1" t="s">
        <v>330</v>
      </c>
      <c r="B1" s="5"/>
      <c r="C1" s="1"/>
      <c r="D1" s="1"/>
      <c r="E1" s="244"/>
      <c r="F1" s="245"/>
      <c r="G1" s="245"/>
      <c r="H1" s="245"/>
      <c r="I1" s="245"/>
      <c r="J1" s="245"/>
      <c r="K1" s="245"/>
      <c r="L1" s="245"/>
      <c r="M1" s="245"/>
      <c r="N1" s="245"/>
      <c r="O1"/>
      <c r="P1"/>
      <c r="Q1"/>
      <c r="R1"/>
      <c r="S1"/>
      <c r="T1"/>
      <c r="U1"/>
    </row>
    <row r="2" spans="1:21" s="3" customFormat="1" ht="36" customHeight="1" x14ac:dyDescent="0.15">
      <c r="A2" s="234" t="s">
        <v>324</v>
      </c>
      <c r="B2" s="235"/>
      <c r="C2" s="235"/>
      <c r="D2" s="235"/>
      <c r="E2" s="235"/>
      <c r="F2" s="235"/>
      <c r="G2" s="235"/>
      <c r="H2" s="235"/>
      <c r="I2" s="235"/>
      <c r="J2" s="235"/>
      <c r="K2" s="235"/>
      <c r="L2" s="235"/>
      <c r="M2" s="235"/>
      <c r="N2" s="235"/>
      <c r="O2" s="245"/>
      <c r="P2"/>
      <c r="Q2"/>
      <c r="R2"/>
      <c r="S2"/>
      <c r="T2"/>
      <c r="U2"/>
    </row>
    <row r="3" spans="1:21" s="3" customFormat="1" ht="18.75" customHeight="1" x14ac:dyDescent="0.15">
      <c r="A3" s="1"/>
      <c r="B3" s="5"/>
      <c r="C3" s="1"/>
      <c r="D3" s="1"/>
      <c r="G3" s="1"/>
      <c r="H3" s="1"/>
      <c r="I3" s="5"/>
      <c r="J3" s="1"/>
      <c r="K3" s="1"/>
      <c r="L3" s="5"/>
      <c r="M3" s="1"/>
      <c r="N3" s="1"/>
      <c r="O3"/>
      <c r="P3"/>
      <c r="Q3"/>
      <c r="R3"/>
      <c r="S3"/>
      <c r="T3"/>
      <c r="U3"/>
    </row>
    <row r="4" spans="1:21" s="3" customFormat="1" ht="23.25" customHeight="1" x14ac:dyDescent="0.15">
      <c r="A4" s="104"/>
      <c r="B4" s="105"/>
      <c r="C4" s="104"/>
      <c r="D4" s="104"/>
      <c r="G4" s="104"/>
      <c r="H4" s="104"/>
      <c r="I4" s="105"/>
      <c r="J4" s="104"/>
      <c r="K4" s="104"/>
      <c r="L4" s="106"/>
      <c r="M4" s="106"/>
      <c r="N4" s="107"/>
      <c r="O4" s="108"/>
      <c r="P4"/>
      <c r="Q4"/>
      <c r="R4"/>
      <c r="S4"/>
      <c r="T4"/>
      <c r="U4"/>
    </row>
    <row r="5" spans="1:21" s="3" customFormat="1" ht="31.5" customHeight="1" x14ac:dyDescent="0.15">
      <c r="A5" s="104"/>
      <c r="B5" s="105"/>
      <c r="C5" s="104"/>
      <c r="D5" s="104"/>
      <c r="G5" s="104"/>
      <c r="H5" s="104"/>
      <c r="I5" s="105"/>
      <c r="J5" s="104"/>
      <c r="K5" s="104"/>
      <c r="L5" s="109"/>
      <c r="M5" s="110"/>
      <c r="N5" s="111"/>
      <c r="O5" s="112"/>
      <c r="P5"/>
      <c r="Q5"/>
      <c r="R5"/>
      <c r="S5"/>
      <c r="T5"/>
      <c r="U5"/>
    </row>
    <row r="6" spans="1:21" ht="31.5" customHeight="1" thickBot="1" x14ac:dyDescent="0.2">
      <c r="A6" s="102"/>
      <c r="B6" s="102"/>
      <c r="C6" s="102"/>
      <c r="D6" s="102"/>
      <c r="E6" s="246"/>
      <c r="F6" s="247"/>
      <c r="G6" s="102"/>
      <c r="H6" s="102"/>
      <c r="I6" s="102"/>
      <c r="J6" s="102"/>
      <c r="K6" s="102"/>
      <c r="L6" s="113"/>
      <c r="M6" s="110"/>
      <c r="N6" s="111"/>
      <c r="O6" s="112"/>
    </row>
    <row r="7" spans="1:21" ht="33.75" customHeight="1" thickBot="1" x14ac:dyDescent="0.3">
      <c r="A7" s="248" t="s">
        <v>367</v>
      </c>
      <c r="B7" s="249"/>
      <c r="C7" s="249"/>
      <c r="D7" s="114"/>
      <c r="E7" s="250" t="s">
        <v>359</v>
      </c>
      <c r="F7" s="251"/>
      <c r="G7" s="103"/>
      <c r="H7" s="103"/>
      <c r="I7" s="103"/>
      <c r="J7" s="103"/>
      <c r="K7" s="115"/>
      <c r="L7" s="103"/>
      <c r="M7" s="103"/>
    </row>
    <row r="8" spans="1:21" ht="18.75" customHeight="1" x14ac:dyDescent="0.15">
      <c r="A8" s="267"/>
      <c r="B8" s="268"/>
      <c r="C8" s="269"/>
      <c r="D8" s="255" t="s">
        <v>310</v>
      </c>
      <c r="E8" s="273" t="s">
        <v>333</v>
      </c>
      <c r="F8" s="276" t="s">
        <v>334</v>
      </c>
      <c r="G8" s="116" t="s">
        <v>335</v>
      </c>
      <c r="H8" s="117" t="s">
        <v>336</v>
      </c>
      <c r="I8" s="279" t="s">
        <v>337</v>
      </c>
      <c r="J8" s="280"/>
      <c r="K8" s="281"/>
      <c r="L8" s="252" t="s">
        <v>338</v>
      </c>
      <c r="M8" s="253"/>
      <c r="N8" s="254"/>
      <c r="O8" s="255" t="s">
        <v>310</v>
      </c>
    </row>
    <row r="9" spans="1:21" ht="18.75" customHeight="1" x14ac:dyDescent="0.15">
      <c r="A9" s="270"/>
      <c r="B9" s="271"/>
      <c r="C9" s="272"/>
      <c r="D9" s="256"/>
      <c r="E9" s="274"/>
      <c r="F9" s="277"/>
      <c r="G9" s="12" t="s">
        <v>339</v>
      </c>
      <c r="H9" s="118" t="s">
        <v>360</v>
      </c>
      <c r="I9" s="258" t="s">
        <v>341</v>
      </c>
      <c r="J9" s="259"/>
      <c r="K9" s="260"/>
      <c r="L9" s="261" t="s">
        <v>361</v>
      </c>
      <c r="M9" s="262"/>
      <c r="N9" s="263"/>
      <c r="O9" s="256"/>
    </row>
    <row r="10" spans="1:21" ht="18.75" customHeight="1" thickBot="1" x14ac:dyDescent="0.2">
      <c r="A10" s="119"/>
      <c r="B10" s="120" t="s">
        <v>315</v>
      </c>
      <c r="C10" s="121" t="s">
        <v>343</v>
      </c>
      <c r="D10" s="257"/>
      <c r="E10" s="275"/>
      <c r="F10" s="278"/>
      <c r="G10" s="122" t="s">
        <v>334</v>
      </c>
      <c r="H10" s="123" t="s">
        <v>344</v>
      </c>
      <c r="I10" s="124" t="s">
        <v>315</v>
      </c>
      <c r="J10" s="121" t="s">
        <v>343</v>
      </c>
      <c r="K10" s="125" t="s">
        <v>344</v>
      </c>
      <c r="L10" s="124" t="s">
        <v>315</v>
      </c>
      <c r="M10" s="123" t="s">
        <v>343</v>
      </c>
      <c r="N10" s="125" t="s">
        <v>344</v>
      </c>
      <c r="O10" s="257"/>
    </row>
    <row r="11" spans="1:21" ht="14.25" x14ac:dyDescent="0.15">
      <c r="A11" s="264" t="s">
        <v>46</v>
      </c>
      <c r="B11" s="126" t="s">
        <v>345</v>
      </c>
      <c r="C11" s="126" t="s">
        <v>346</v>
      </c>
      <c r="D11" s="126"/>
      <c r="E11" s="49"/>
      <c r="F11" s="49"/>
      <c r="G11" s="126"/>
      <c r="H11" s="127" t="s">
        <v>347</v>
      </c>
      <c r="I11" s="126" t="s">
        <v>345</v>
      </c>
      <c r="J11" s="126" t="s">
        <v>346</v>
      </c>
      <c r="K11" s="127" t="s">
        <v>348</v>
      </c>
      <c r="L11" s="126" t="s">
        <v>349</v>
      </c>
      <c r="M11" s="126" t="s">
        <v>346</v>
      </c>
      <c r="N11" s="127">
        <v>30</v>
      </c>
      <c r="O11" s="128"/>
    </row>
    <row r="12" spans="1:21" ht="14.25" x14ac:dyDescent="0.15">
      <c r="A12" s="265"/>
      <c r="B12" s="129"/>
      <c r="C12" s="129"/>
      <c r="D12" s="129"/>
      <c r="E12" s="62"/>
      <c r="F12" s="62"/>
      <c r="G12" s="129"/>
      <c r="H12" s="130"/>
      <c r="I12" s="129"/>
      <c r="J12" s="129"/>
      <c r="K12" s="130"/>
      <c r="L12" s="129"/>
      <c r="M12" s="129"/>
      <c r="N12" s="130"/>
      <c r="O12" s="131"/>
    </row>
    <row r="13" spans="1:21" ht="14.25" x14ac:dyDescent="0.15">
      <c r="A13" s="265"/>
      <c r="B13" s="132" t="s">
        <v>368</v>
      </c>
      <c r="C13" s="132" t="s">
        <v>130</v>
      </c>
      <c r="D13" s="132"/>
      <c r="E13" s="56"/>
      <c r="F13" s="56"/>
      <c r="G13" s="132"/>
      <c r="H13" s="135">
        <v>20</v>
      </c>
      <c r="I13" s="132" t="s">
        <v>369</v>
      </c>
      <c r="J13" s="136" t="s">
        <v>370</v>
      </c>
      <c r="K13" s="135">
        <v>15</v>
      </c>
      <c r="L13" s="132" t="s">
        <v>371</v>
      </c>
      <c r="M13" s="132" t="s">
        <v>56</v>
      </c>
      <c r="N13" s="135">
        <v>5</v>
      </c>
      <c r="O13" s="134"/>
    </row>
    <row r="14" spans="1:21" ht="14.25" x14ac:dyDescent="0.15">
      <c r="A14" s="265"/>
      <c r="B14" s="132"/>
      <c r="C14" s="132" t="s">
        <v>56</v>
      </c>
      <c r="D14" s="132"/>
      <c r="E14" s="56"/>
      <c r="F14" s="56"/>
      <c r="G14" s="132"/>
      <c r="H14" s="135">
        <v>10</v>
      </c>
      <c r="I14" s="132"/>
      <c r="J14" s="132" t="s">
        <v>56</v>
      </c>
      <c r="K14" s="135">
        <v>10</v>
      </c>
      <c r="L14" s="132"/>
      <c r="M14" s="132" t="s">
        <v>33</v>
      </c>
      <c r="N14" s="135">
        <v>5</v>
      </c>
      <c r="O14" s="134"/>
    </row>
    <row r="15" spans="1:21" ht="14.25" x14ac:dyDescent="0.15">
      <c r="A15" s="265"/>
      <c r="B15" s="132"/>
      <c r="C15" s="132" t="s">
        <v>33</v>
      </c>
      <c r="D15" s="132"/>
      <c r="E15" s="56"/>
      <c r="F15" s="56"/>
      <c r="G15" s="132"/>
      <c r="H15" s="135">
        <v>5</v>
      </c>
      <c r="I15" s="132"/>
      <c r="J15" s="132" t="s">
        <v>33</v>
      </c>
      <c r="K15" s="135">
        <v>5</v>
      </c>
      <c r="L15" s="129"/>
      <c r="M15" s="129"/>
      <c r="N15" s="130"/>
      <c r="O15" s="131"/>
    </row>
    <row r="16" spans="1:21" ht="14.25" x14ac:dyDescent="0.15">
      <c r="A16" s="265"/>
      <c r="B16" s="132"/>
      <c r="C16" s="132"/>
      <c r="D16" s="132"/>
      <c r="E16" s="56"/>
      <c r="F16" s="56"/>
      <c r="G16" s="132" t="s">
        <v>25</v>
      </c>
      <c r="H16" s="135" t="s">
        <v>354</v>
      </c>
      <c r="I16" s="132"/>
      <c r="J16" s="132"/>
      <c r="K16" s="135"/>
      <c r="L16" s="132" t="s">
        <v>372</v>
      </c>
      <c r="M16" s="132" t="s">
        <v>32</v>
      </c>
      <c r="N16" s="135">
        <v>5</v>
      </c>
      <c r="O16" s="134"/>
    </row>
    <row r="17" spans="1:15" ht="14.25" x14ac:dyDescent="0.15">
      <c r="A17" s="265"/>
      <c r="B17" s="132"/>
      <c r="C17" s="132"/>
      <c r="D17" s="132"/>
      <c r="E17" s="56"/>
      <c r="F17" s="56"/>
      <c r="G17" s="132" t="s">
        <v>50</v>
      </c>
      <c r="H17" s="135" t="s">
        <v>356</v>
      </c>
      <c r="I17" s="132"/>
      <c r="J17" s="132"/>
      <c r="K17" s="135"/>
      <c r="L17" s="132"/>
      <c r="M17" s="132" t="s">
        <v>142</v>
      </c>
      <c r="N17" s="135">
        <v>5</v>
      </c>
      <c r="O17" s="134"/>
    </row>
    <row r="18" spans="1:15" ht="14.25" x14ac:dyDescent="0.15">
      <c r="A18" s="265"/>
      <c r="B18" s="132"/>
      <c r="C18" s="132"/>
      <c r="D18" s="132"/>
      <c r="E18" s="56"/>
      <c r="F18" s="56" t="s">
        <v>27</v>
      </c>
      <c r="G18" s="132" t="s">
        <v>26</v>
      </c>
      <c r="H18" s="135" t="s">
        <v>356</v>
      </c>
      <c r="I18" s="132"/>
      <c r="J18" s="132"/>
      <c r="K18" s="135"/>
      <c r="L18" s="129"/>
      <c r="M18" s="129"/>
      <c r="N18" s="130"/>
      <c r="O18" s="131"/>
    </row>
    <row r="19" spans="1:15" ht="14.25" x14ac:dyDescent="0.15">
      <c r="A19" s="265"/>
      <c r="B19" s="129"/>
      <c r="C19" s="129"/>
      <c r="D19" s="129"/>
      <c r="E19" s="62"/>
      <c r="F19" s="62"/>
      <c r="G19" s="129"/>
      <c r="H19" s="130"/>
      <c r="I19" s="129"/>
      <c r="J19" s="129"/>
      <c r="K19" s="130"/>
      <c r="L19" s="132" t="s">
        <v>373</v>
      </c>
      <c r="M19" s="132" t="s">
        <v>76</v>
      </c>
      <c r="N19" s="135">
        <v>10</v>
      </c>
      <c r="O19" s="134"/>
    </row>
    <row r="20" spans="1:15" ht="14.25" x14ac:dyDescent="0.15">
      <c r="A20" s="265"/>
      <c r="B20" s="132" t="s">
        <v>374</v>
      </c>
      <c r="C20" s="132" t="s">
        <v>32</v>
      </c>
      <c r="D20" s="132"/>
      <c r="E20" s="56"/>
      <c r="F20" s="56"/>
      <c r="G20" s="132"/>
      <c r="H20" s="135">
        <v>10</v>
      </c>
      <c r="I20" s="132" t="s">
        <v>374</v>
      </c>
      <c r="J20" s="132" t="s">
        <v>32</v>
      </c>
      <c r="K20" s="135">
        <v>10</v>
      </c>
      <c r="L20" s="132"/>
      <c r="M20" s="132"/>
      <c r="N20" s="135"/>
      <c r="O20" s="134"/>
    </row>
    <row r="21" spans="1:15" ht="14.25" x14ac:dyDescent="0.15">
      <c r="A21" s="265"/>
      <c r="B21" s="132"/>
      <c r="C21" s="132" t="s">
        <v>142</v>
      </c>
      <c r="D21" s="132"/>
      <c r="E21" s="56"/>
      <c r="F21" s="56"/>
      <c r="G21" s="132"/>
      <c r="H21" s="135">
        <v>10</v>
      </c>
      <c r="I21" s="132"/>
      <c r="J21" s="132" t="s">
        <v>142</v>
      </c>
      <c r="K21" s="135">
        <v>5</v>
      </c>
      <c r="L21" s="132"/>
      <c r="M21" s="132"/>
      <c r="N21" s="135"/>
      <c r="O21" s="134"/>
    </row>
    <row r="22" spans="1:15" ht="14.25" x14ac:dyDescent="0.15">
      <c r="A22" s="265"/>
      <c r="B22" s="132"/>
      <c r="C22" s="132" t="s">
        <v>36</v>
      </c>
      <c r="D22" s="132"/>
      <c r="E22" s="56" t="s">
        <v>37</v>
      </c>
      <c r="F22" s="56"/>
      <c r="G22" s="132"/>
      <c r="H22" s="138">
        <v>0.13</v>
      </c>
      <c r="I22" s="132"/>
      <c r="J22" s="132" t="s">
        <v>375</v>
      </c>
      <c r="K22" s="138">
        <v>0.13</v>
      </c>
      <c r="L22" s="132"/>
      <c r="M22" s="132"/>
      <c r="N22" s="135"/>
      <c r="O22" s="134"/>
    </row>
    <row r="23" spans="1:15" ht="14.25" x14ac:dyDescent="0.15">
      <c r="A23" s="265"/>
      <c r="B23" s="129"/>
      <c r="C23" s="129"/>
      <c r="D23" s="129"/>
      <c r="E23" s="62"/>
      <c r="F23" s="145"/>
      <c r="G23" s="129"/>
      <c r="H23" s="130"/>
      <c r="I23" s="129"/>
      <c r="J23" s="129"/>
      <c r="K23" s="130"/>
      <c r="L23" s="132"/>
      <c r="M23" s="132"/>
      <c r="N23" s="135"/>
      <c r="O23" s="134"/>
    </row>
    <row r="24" spans="1:15" ht="14.25" x14ac:dyDescent="0.15">
      <c r="A24" s="265"/>
      <c r="B24" s="132" t="s">
        <v>127</v>
      </c>
      <c r="C24" s="132" t="s">
        <v>76</v>
      </c>
      <c r="D24" s="132"/>
      <c r="E24" s="56"/>
      <c r="F24" s="56"/>
      <c r="G24" s="132"/>
      <c r="H24" s="135">
        <v>10</v>
      </c>
      <c r="I24" s="132" t="s">
        <v>127</v>
      </c>
      <c r="J24" s="132" t="s">
        <v>76</v>
      </c>
      <c r="K24" s="135">
        <v>10</v>
      </c>
      <c r="L24" s="132"/>
      <c r="M24" s="132"/>
      <c r="N24" s="135"/>
      <c r="O24" s="134"/>
    </row>
    <row r="25" spans="1:15" ht="14.25" x14ac:dyDescent="0.15">
      <c r="A25" s="265"/>
      <c r="B25" s="132"/>
      <c r="C25" s="132"/>
      <c r="D25" s="132"/>
      <c r="E25" s="56"/>
      <c r="F25" s="56"/>
      <c r="G25" s="132" t="s">
        <v>55</v>
      </c>
      <c r="H25" s="135" t="s">
        <v>354</v>
      </c>
      <c r="I25" s="132"/>
      <c r="J25" s="132"/>
      <c r="K25" s="135"/>
      <c r="L25" s="132"/>
      <c r="M25" s="132"/>
      <c r="N25" s="135"/>
      <c r="O25" s="134"/>
    </row>
    <row r="26" spans="1:15" ht="15" thickBot="1" x14ac:dyDescent="0.2">
      <c r="A26" s="266"/>
      <c r="B26" s="139"/>
      <c r="C26" s="139"/>
      <c r="D26" s="139"/>
      <c r="E26" s="69"/>
      <c r="F26" s="69"/>
      <c r="G26" s="139"/>
      <c r="H26" s="140"/>
      <c r="I26" s="139"/>
      <c r="J26" s="139"/>
      <c r="K26" s="140"/>
      <c r="L26" s="139"/>
      <c r="M26" s="139"/>
      <c r="N26" s="140"/>
      <c r="O26" s="141"/>
    </row>
    <row r="27" spans="1:15" ht="14.25" x14ac:dyDescent="0.15">
      <c r="B27" s="105"/>
      <c r="C27" s="105"/>
      <c r="D27" s="105"/>
      <c r="G27" s="105"/>
      <c r="H27" s="142"/>
      <c r="I27" s="105"/>
      <c r="J27" s="105"/>
      <c r="K27" s="142"/>
      <c r="L27" s="105"/>
      <c r="M27" s="105"/>
      <c r="N27" s="142"/>
    </row>
    <row r="28" spans="1:15" ht="14.25" x14ac:dyDescent="0.15">
      <c r="B28" s="105"/>
      <c r="C28" s="105"/>
      <c r="D28" s="105"/>
      <c r="G28" s="105"/>
      <c r="H28" s="142"/>
      <c r="I28" s="105"/>
      <c r="J28" s="105"/>
      <c r="K28" s="142"/>
      <c r="L28" s="105"/>
      <c r="M28" s="105"/>
      <c r="N28" s="142"/>
    </row>
    <row r="29" spans="1:15" ht="14.25" x14ac:dyDescent="0.15">
      <c r="B29" s="105"/>
      <c r="C29" s="105"/>
      <c r="D29" s="105"/>
      <c r="G29" s="105"/>
      <c r="H29" s="142"/>
      <c r="I29" s="105"/>
      <c r="J29" s="105"/>
      <c r="K29" s="142"/>
      <c r="L29" s="105"/>
      <c r="M29" s="105"/>
      <c r="N29" s="142"/>
    </row>
    <row r="30" spans="1:15" ht="14.25" x14ac:dyDescent="0.15">
      <c r="B30" s="105"/>
      <c r="C30" s="105"/>
      <c r="D30" s="105"/>
      <c r="G30" s="105"/>
      <c r="H30" s="142"/>
      <c r="I30" s="105"/>
      <c r="J30" s="105"/>
      <c r="K30" s="142"/>
      <c r="L30" s="105"/>
      <c r="M30" s="105"/>
      <c r="N30" s="142"/>
    </row>
    <row r="31" spans="1:15" ht="14.25" x14ac:dyDescent="0.15">
      <c r="B31" s="105"/>
      <c r="C31" s="105"/>
      <c r="D31" s="105"/>
      <c r="G31" s="105"/>
      <c r="H31" s="142"/>
      <c r="I31" s="105"/>
      <c r="J31" s="105"/>
      <c r="K31" s="142"/>
      <c r="L31" s="105"/>
      <c r="M31" s="105"/>
      <c r="N31" s="142"/>
    </row>
    <row r="32" spans="1:15" ht="14.25" x14ac:dyDescent="0.15">
      <c r="B32" s="105"/>
      <c r="C32" s="105"/>
      <c r="D32" s="105"/>
      <c r="G32" s="105"/>
      <c r="H32" s="142"/>
      <c r="I32" s="105"/>
      <c r="J32" s="105"/>
      <c r="K32" s="142"/>
      <c r="L32" s="105"/>
      <c r="M32" s="105"/>
      <c r="N32" s="142"/>
    </row>
    <row r="33" spans="2:14" ht="14.25" x14ac:dyDescent="0.15">
      <c r="B33" s="105"/>
      <c r="C33" s="105"/>
      <c r="D33" s="105"/>
      <c r="G33" s="105"/>
      <c r="H33" s="142"/>
      <c r="I33" s="105"/>
      <c r="J33" s="105"/>
      <c r="K33" s="142"/>
      <c r="L33" s="105"/>
      <c r="M33" s="105"/>
      <c r="N33" s="142"/>
    </row>
    <row r="34" spans="2:14" ht="14.25" x14ac:dyDescent="0.15">
      <c r="B34" s="105"/>
      <c r="C34" s="105"/>
      <c r="D34" s="105"/>
      <c r="G34" s="105"/>
      <c r="H34" s="142"/>
      <c r="I34" s="105"/>
      <c r="J34" s="105"/>
      <c r="K34" s="142"/>
      <c r="L34" s="105"/>
      <c r="M34" s="105"/>
      <c r="N34" s="142"/>
    </row>
  </sheetData>
  <mergeCells count="15">
    <mergeCell ref="L8:N8"/>
    <mergeCell ref="O8:O10"/>
    <mergeCell ref="I9:K9"/>
    <mergeCell ref="L9:N9"/>
    <mergeCell ref="A11:A26"/>
    <mergeCell ref="A8:C9"/>
    <mergeCell ref="D8:D10"/>
    <mergeCell ref="E8:E10"/>
    <mergeCell ref="F8:F10"/>
    <mergeCell ref="I8:K8"/>
    <mergeCell ref="E1:N1"/>
    <mergeCell ref="A2:O2"/>
    <mergeCell ref="E6:F6"/>
    <mergeCell ref="A7:C7"/>
    <mergeCell ref="E7:F7"/>
  </mergeCells>
  <phoneticPr fontId="22"/>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showZeros="0" zoomScale="60" zoomScaleNormal="60" zoomScaleSheetLayoutView="80" workbookViewId="0"/>
  </sheetViews>
  <sheetFormatPr defaultRowHeight="18.75" customHeight="1" x14ac:dyDescent="0.15"/>
  <cols>
    <col min="1" max="1" width="4.125" style="37" customWidth="1"/>
    <col min="2" max="2" width="22.5" style="36" customWidth="1"/>
    <col min="3" max="3" width="26.625" style="36" customWidth="1"/>
    <col min="4" max="4" width="17.125" style="35" customWidth="1"/>
    <col min="5" max="5" width="8.125" style="38" customWidth="1"/>
    <col min="6" max="6" width="4" style="39" customWidth="1"/>
    <col min="7" max="7" width="10.25" style="39" hidden="1" customWidth="1"/>
    <col min="8" max="8" width="23.25" style="40" customWidth="1"/>
    <col min="9" max="9" width="17.125" style="35" customWidth="1"/>
    <col min="10" max="10" width="8.125" style="39" customWidth="1"/>
    <col min="11" max="11" width="4" style="39" customWidth="1"/>
    <col min="12" max="12" width="10.25" style="39" hidden="1" customWidth="1"/>
    <col min="13" max="13" width="8.25" style="39" customWidth="1"/>
    <col min="14" max="14" width="8.625" style="41" hidden="1" customWidth="1"/>
    <col min="15" max="15" width="97.75" style="36" customWidth="1"/>
    <col min="16" max="16" width="14.125" style="40" customWidth="1"/>
    <col min="17" max="17" width="16" style="35" customWidth="1"/>
    <col min="18" max="18" width="10.125" style="42" customWidth="1"/>
    <col min="19" max="19" width="10.125" style="38" customWidth="1"/>
    <col min="20" max="20" width="10.125" style="35" customWidth="1"/>
    <col min="21" max="21" width="5.125" style="35" customWidth="1"/>
    <col min="29" max="16384" width="9" style="3"/>
  </cols>
  <sheetData>
    <row r="1" spans="1:21" ht="36.75" customHeight="1" x14ac:dyDescent="0.15">
      <c r="A1" s="1" t="s">
        <v>22</v>
      </c>
      <c r="B1" s="1"/>
      <c r="C1" s="2"/>
      <c r="D1" s="3"/>
      <c r="E1" s="2"/>
      <c r="F1" s="2"/>
      <c r="G1" s="2"/>
      <c r="H1" s="234"/>
      <c r="I1" s="234"/>
      <c r="J1" s="235"/>
      <c r="K1" s="235"/>
      <c r="L1" s="235"/>
      <c r="M1" s="235"/>
      <c r="N1" s="235"/>
      <c r="O1" s="235"/>
      <c r="P1" s="2"/>
      <c r="Q1" s="2"/>
      <c r="R1" s="4"/>
      <c r="S1" s="4"/>
      <c r="T1" s="3"/>
      <c r="U1" s="3"/>
    </row>
    <row r="2" spans="1:21" ht="36.75" customHeight="1" x14ac:dyDescent="0.15">
      <c r="A2" s="234" t="s">
        <v>0</v>
      </c>
      <c r="B2" s="234"/>
      <c r="C2" s="235"/>
      <c r="D2" s="235"/>
      <c r="E2" s="235"/>
      <c r="F2" s="235"/>
      <c r="G2" s="235"/>
      <c r="H2" s="235"/>
      <c r="I2" s="235"/>
      <c r="J2" s="235"/>
      <c r="K2" s="235"/>
      <c r="L2" s="235"/>
      <c r="M2" s="235"/>
      <c r="N2" s="235"/>
      <c r="O2" s="235"/>
      <c r="P2" s="235"/>
      <c r="Q2" s="235"/>
      <c r="R2" s="235"/>
      <c r="S2" s="235"/>
      <c r="T2" s="235"/>
      <c r="U2" s="3"/>
    </row>
    <row r="3" spans="1:21" ht="18.75" customHeight="1" x14ac:dyDescent="0.15">
      <c r="A3" s="5"/>
      <c r="B3" s="5"/>
      <c r="C3" s="2"/>
      <c r="D3" s="3"/>
      <c r="E3" s="6"/>
      <c r="F3" s="2"/>
      <c r="G3" s="2"/>
      <c r="H3" s="2"/>
      <c r="I3" s="3"/>
      <c r="J3" s="2"/>
      <c r="K3" s="7"/>
      <c r="L3" s="7"/>
      <c r="M3" s="7"/>
      <c r="N3" s="7"/>
      <c r="O3" s="2"/>
      <c r="P3" s="8"/>
      <c r="Q3" s="236" t="s">
        <v>1</v>
      </c>
      <c r="R3" s="237"/>
      <c r="S3" s="237"/>
      <c r="T3" s="238"/>
      <c r="U3" s="3"/>
    </row>
    <row r="4" spans="1:21" ht="15.75" customHeight="1" x14ac:dyDescent="0.15">
      <c r="A4" s="5"/>
      <c r="B4" s="5"/>
      <c r="C4" s="2"/>
      <c r="D4" s="3"/>
      <c r="E4" s="6"/>
      <c r="F4" s="2"/>
      <c r="G4" s="2"/>
      <c r="H4" s="2"/>
      <c r="I4" s="3"/>
      <c r="J4" s="2"/>
      <c r="K4" s="7"/>
      <c r="L4" s="7"/>
      <c r="M4" s="7"/>
      <c r="N4" s="9"/>
      <c r="O4" s="2"/>
      <c r="P4" s="10"/>
      <c r="Q4" s="11"/>
      <c r="R4" s="12" t="s">
        <v>2</v>
      </c>
      <c r="S4" s="13" t="s">
        <v>3</v>
      </c>
      <c r="T4" s="13" t="s">
        <v>4</v>
      </c>
      <c r="U4" s="3"/>
    </row>
    <row r="5" spans="1:21" ht="22.5" customHeight="1" x14ac:dyDescent="0.15">
      <c r="A5" s="5"/>
      <c r="B5" s="5"/>
      <c r="C5" s="2"/>
      <c r="D5" s="3"/>
      <c r="E5" s="6"/>
      <c r="F5" s="2"/>
      <c r="G5" s="2"/>
      <c r="H5" s="2"/>
      <c r="I5" s="3"/>
      <c r="J5" s="2"/>
      <c r="K5" s="7"/>
      <c r="L5" s="7"/>
      <c r="M5" s="7"/>
      <c r="N5" s="9"/>
      <c r="O5" s="2"/>
      <c r="P5" s="14"/>
      <c r="Q5" s="45" t="s">
        <v>6</v>
      </c>
      <c r="R5" s="46"/>
      <c r="S5" s="47"/>
      <c r="T5" s="47"/>
      <c r="U5" s="3"/>
    </row>
    <row r="6" spans="1:21" ht="22.5" customHeight="1" x14ac:dyDescent="0.15">
      <c r="A6" s="5"/>
      <c r="B6" s="5"/>
      <c r="C6" s="2"/>
      <c r="D6" s="15"/>
      <c r="E6" s="6"/>
      <c r="F6" s="2"/>
      <c r="G6" s="2"/>
      <c r="H6" s="2"/>
      <c r="I6" s="15"/>
      <c r="J6" s="2"/>
      <c r="K6" s="7"/>
      <c r="L6" s="7"/>
      <c r="M6" s="7"/>
      <c r="N6" s="9"/>
      <c r="O6" s="2"/>
      <c r="P6" s="14"/>
      <c r="Q6" s="45" t="s">
        <v>5</v>
      </c>
      <c r="R6" s="46"/>
      <c r="S6" s="47"/>
      <c r="T6" s="47"/>
      <c r="U6" s="3"/>
    </row>
    <row r="7" spans="1:21" ht="22.5" customHeight="1" x14ac:dyDescent="0.15">
      <c r="A7" s="5"/>
      <c r="B7" s="5"/>
      <c r="C7" s="2"/>
      <c r="D7" s="16"/>
      <c r="E7" s="6"/>
      <c r="F7" s="2"/>
      <c r="G7" s="2"/>
      <c r="I7" s="16"/>
      <c r="J7" s="2"/>
      <c r="K7" s="7"/>
      <c r="L7" s="7"/>
      <c r="M7" s="7"/>
      <c r="N7" s="17"/>
      <c r="O7" s="2"/>
      <c r="P7" s="14"/>
      <c r="Q7" s="45" t="s">
        <v>7</v>
      </c>
      <c r="R7" s="46"/>
      <c r="S7" s="47"/>
      <c r="T7" s="47"/>
      <c r="U7" s="18"/>
    </row>
    <row r="8" spans="1:21" ht="27.75" customHeight="1" thickBot="1" x14ac:dyDescent="0.3">
      <c r="A8" s="239" t="s">
        <v>148</v>
      </c>
      <c r="B8" s="240"/>
      <c r="C8" s="240"/>
      <c r="D8" s="240"/>
      <c r="E8" s="240"/>
      <c r="F8" s="240"/>
      <c r="G8" s="2"/>
      <c r="H8" s="2"/>
      <c r="I8" s="19"/>
      <c r="J8" s="2"/>
      <c r="K8" s="7"/>
      <c r="L8" s="7"/>
      <c r="M8" s="7"/>
      <c r="N8" s="17"/>
      <c r="O8" s="2"/>
      <c r="P8" s="20"/>
      <c r="Q8" s="19"/>
      <c r="R8" s="21"/>
      <c r="S8" s="21"/>
      <c r="T8" s="22"/>
      <c r="U8" s="18"/>
    </row>
    <row r="9" spans="1:21" customFormat="1" ht="42" customHeight="1" thickBot="1" x14ac:dyDescent="0.2">
      <c r="A9" s="23"/>
      <c r="B9" s="24" t="s">
        <v>8</v>
      </c>
      <c r="C9" s="25" t="s">
        <v>9</v>
      </c>
      <c r="D9" s="26" t="s">
        <v>10</v>
      </c>
      <c r="E9" s="43" t="s">
        <v>14</v>
      </c>
      <c r="F9" s="27" t="s">
        <v>12</v>
      </c>
      <c r="G9" s="25" t="s">
        <v>13</v>
      </c>
      <c r="H9" s="24" t="s">
        <v>9</v>
      </c>
      <c r="I9" s="26" t="s">
        <v>10</v>
      </c>
      <c r="J9" s="44" t="s">
        <v>11</v>
      </c>
      <c r="K9" s="27" t="s">
        <v>12</v>
      </c>
      <c r="L9" s="27" t="s">
        <v>13</v>
      </c>
      <c r="M9" s="27" t="s">
        <v>15</v>
      </c>
      <c r="N9" s="29" t="s">
        <v>16</v>
      </c>
      <c r="O9" s="30" t="s">
        <v>17</v>
      </c>
      <c r="P9" s="27" t="s">
        <v>18</v>
      </c>
      <c r="Q9" s="31" t="s">
        <v>10</v>
      </c>
      <c r="R9" s="28" t="s">
        <v>20</v>
      </c>
      <c r="S9" s="32" t="s">
        <v>19</v>
      </c>
      <c r="T9" s="33" t="s">
        <v>21</v>
      </c>
      <c r="U9" s="34"/>
    </row>
    <row r="10" spans="1:21" ht="18.75" customHeight="1" x14ac:dyDescent="0.15">
      <c r="A10" s="241" t="s">
        <v>46</v>
      </c>
      <c r="B10" s="80" t="s">
        <v>23</v>
      </c>
      <c r="C10" s="48"/>
      <c r="D10" s="49"/>
      <c r="E10" s="54"/>
      <c r="F10" s="51"/>
      <c r="G10" s="84"/>
      <c r="H10" s="88"/>
      <c r="I10" s="49"/>
      <c r="J10" s="51"/>
      <c r="K10" s="51"/>
      <c r="L10" s="51"/>
      <c r="M10" s="51"/>
      <c r="N10" s="92"/>
      <c r="O10" s="80"/>
      <c r="P10" s="52" t="s">
        <v>23</v>
      </c>
      <c r="Q10" s="49"/>
      <c r="R10" s="53">
        <v>110</v>
      </c>
      <c r="S10" s="54">
        <f>ROUNDUP(R10*0.75,2)</f>
        <v>82.5</v>
      </c>
      <c r="T10" s="76">
        <f>ROUNDUP((R5*R10)+(R6*S10)+(R7*(R10*2)),2)</f>
        <v>0</v>
      </c>
    </row>
    <row r="11" spans="1:21" ht="18.75" customHeight="1" x14ac:dyDescent="0.15">
      <c r="A11" s="242"/>
      <c r="B11" s="82"/>
      <c r="C11" s="61"/>
      <c r="D11" s="62"/>
      <c r="E11" s="63"/>
      <c r="F11" s="64"/>
      <c r="G11" s="86"/>
      <c r="H11" s="90"/>
      <c r="I11" s="62"/>
      <c r="J11" s="64"/>
      <c r="K11" s="64"/>
      <c r="L11" s="64"/>
      <c r="M11" s="64"/>
      <c r="N11" s="94"/>
      <c r="O11" s="82"/>
      <c r="P11" s="65"/>
      <c r="Q11" s="62"/>
      <c r="R11" s="66"/>
      <c r="S11" s="63"/>
      <c r="T11" s="78"/>
    </row>
    <row r="12" spans="1:21" ht="18.75" customHeight="1" x14ac:dyDescent="0.15">
      <c r="A12" s="242"/>
      <c r="B12" s="81" t="s">
        <v>149</v>
      </c>
      <c r="C12" s="55" t="s">
        <v>151</v>
      </c>
      <c r="D12" s="56"/>
      <c r="E12" s="57">
        <v>1</v>
      </c>
      <c r="F12" s="58" t="s">
        <v>53</v>
      </c>
      <c r="G12" s="85" t="s">
        <v>52</v>
      </c>
      <c r="H12" s="89" t="s">
        <v>151</v>
      </c>
      <c r="I12" s="56"/>
      <c r="J12" s="58">
        <f>ROUNDUP(E12*0.75,2)</f>
        <v>0.75</v>
      </c>
      <c r="K12" s="58" t="s">
        <v>53</v>
      </c>
      <c r="L12" s="58" t="s">
        <v>52</v>
      </c>
      <c r="M12" s="58">
        <f>ROUNDUP((R5*E12)+(R6*J12)+(R7*(E12*2)),2)</f>
        <v>0</v>
      </c>
      <c r="N12" s="93">
        <f>M12</f>
        <v>0</v>
      </c>
      <c r="O12" s="81" t="s">
        <v>296</v>
      </c>
      <c r="P12" s="59" t="s">
        <v>26</v>
      </c>
      <c r="Q12" s="56" t="s">
        <v>27</v>
      </c>
      <c r="R12" s="60">
        <v>1</v>
      </c>
      <c r="S12" s="57">
        <f>ROUNDUP(R12*0.75,2)</f>
        <v>0.75</v>
      </c>
      <c r="T12" s="77">
        <f>ROUNDUP((R5*R12)+(R6*S12)+(R7*(R12*2)),2)</f>
        <v>0</v>
      </c>
    </row>
    <row r="13" spans="1:21" ht="18.75" customHeight="1" x14ac:dyDescent="0.15">
      <c r="A13" s="242"/>
      <c r="B13" s="81"/>
      <c r="C13" s="55" t="s">
        <v>152</v>
      </c>
      <c r="D13" s="56"/>
      <c r="E13" s="57">
        <v>0.5</v>
      </c>
      <c r="F13" s="58" t="s">
        <v>29</v>
      </c>
      <c r="G13" s="85"/>
      <c r="H13" s="89" t="s">
        <v>152</v>
      </c>
      <c r="I13" s="56"/>
      <c r="J13" s="58">
        <f>ROUNDUP(E13*0.75,2)</f>
        <v>0.38</v>
      </c>
      <c r="K13" s="58" t="s">
        <v>29</v>
      </c>
      <c r="L13" s="58"/>
      <c r="M13" s="58">
        <f>ROUNDUP((R5*E13)+(R6*J13)+(R7*(E13*2)),2)</f>
        <v>0</v>
      </c>
      <c r="N13" s="93">
        <f>ROUND(M13+(M13*20/100),2)</f>
        <v>0</v>
      </c>
      <c r="O13" s="81" t="s">
        <v>150</v>
      </c>
      <c r="P13" s="59" t="s">
        <v>34</v>
      </c>
      <c r="Q13" s="56"/>
      <c r="R13" s="60">
        <v>2</v>
      </c>
      <c r="S13" s="57">
        <f>ROUNDUP(R13*0.75,2)</f>
        <v>1.5</v>
      </c>
      <c r="T13" s="77">
        <f>ROUNDUP((R5*R13)+(R6*S13)+(R7*(R13*2)),2)</f>
        <v>0</v>
      </c>
    </row>
    <row r="14" spans="1:21" ht="18.75" customHeight="1" x14ac:dyDescent="0.15">
      <c r="A14" s="242"/>
      <c r="B14" s="81"/>
      <c r="C14" s="55" t="s">
        <v>96</v>
      </c>
      <c r="D14" s="56"/>
      <c r="E14" s="57">
        <v>20</v>
      </c>
      <c r="F14" s="58" t="s">
        <v>29</v>
      </c>
      <c r="G14" s="85"/>
      <c r="H14" s="89" t="s">
        <v>96</v>
      </c>
      <c r="I14" s="56"/>
      <c r="J14" s="58">
        <f>ROUNDUP(E14*0.75,2)</f>
        <v>15</v>
      </c>
      <c r="K14" s="58" t="s">
        <v>29</v>
      </c>
      <c r="L14" s="58"/>
      <c r="M14" s="58">
        <f>ROUNDUP((R5*E14)+(R6*J14)+(R7*(E14*2)),2)</f>
        <v>0</v>
      </c>
      <c r="N14" s="93">
        <f>ROUND(M14+(M14*10/100),2)</f>
        <v>0</v>
      </c>
      <c r="O14" s="100" t="s">
        <v>261</v>
      </c>
      <c r="P14" s="59" t="s">
        <v>31</v>
      </c>
      <c r="Q14" s="56"/>
      <c r="R14" s="60">
        <v>3</v>
      </c>
      <c r="S14" s="57">
        <f>ROUNDUP(R14*0.75,2)</f>
        <v>2.25</v>
      </c>
      <c r="T14" s="77">
        <f>ROUNDUP((R5*R14)+(R6*S14)+(R7*(R14*2)),2)</f>
        <v>0</v>
      </c>
    </row>
    <row r="15" spans="1:21" ht="18.75" customHeight="1" x14ac:dyDescent="0.15">
      <c r="A15" s="242"/>
      <c r="B15" s="81"/>
      <c r="C15" s="55" t="s">
        <v>110</v>
      </c>
      <c r="D15" s="56"/>
      <c r="E15" s="57">
        <v>0.1</v>
      </c>
      <c r="F15" s="58" t="s">
        <v>29</v>
      </c>
      <c r="G15" s="85" t="s">
        <v>111</v>
      </c>
      <c r="H15" s="89" t="s">
        <v>110</v>
      </c>
      <c r="I15" s="56"/>
      <c r="J15" s="58">
        <f>ROUNDUP(E15*0.75,2)</f>
        <v>0.08</v>
      </c>
      <c r="K15" s="58" t="s">
        <v>29</v>
      </c>
      <c r="L15" s="58" t="s">
        <v>111</v>
      </c>
      <c r="M15" s="58">
        <f>ROUNDUP((R5*E15)+(R6*J15)+(R7*(E15*2)),2)</f>
        <v>0</v>
      </c>
      <c r="N15" s="93">
        <f>M15</f>
        <v>0</v>
      </c>
      <c r="O15" s="36" t="s">
        <v>262</v>
      </c>
      <c r="P15" s="59" t="s">
        <v>54</v>
      </c>
      <c r="Q15" s="56"/>
      <c r="R15" s="60">
        <v>4</v>
      </c>
      <c r="S15" s="57">
        <f>ROUNDUP(R15*0.75,2)</f>
        <v>3</v>
      </c>
      <c r="T15" s="77">
        <f>ROUNDUP((R5*R15)+(R6*S15)+(R7*(R15*2)),2)</f>
        <v>0</v>
      </c>
    </row>
    <row r="16" spans="1:21" ht="18.75" customHeight="1" x14ac:dyDescent="0.15">
      <c r="A16" s="242"/>
      <c r="B16" s="81"/>
      <c r="C16" s="55"/>
      <c r="D16" s="56"/>
      <c r="E16" s="57"/>
      <c r="F16" s="58"/>
      <c r="G16" s="85"/>
      <c r="H16" s="89"/>
      <c r="I16" s="56"/>
      <c r="J16" s="58"/>
      <c r="K16" s="58"/>
      <c r="L16" s="58"/>
      <c r="M16" s="58"/>
      <c r="N16" s="93"/>
      <c r="O16" s="81" t="s">
        <v>28</v>
      </c>
      <c r="P16" s="59" t="s">
        <v>41</v>
      </c>
      <c r="Q16" s="56"/>
      <c r="R16" s="60">
        <v>0.05</v>
      </c>
      <c r="S16" s="57">
        <f>ROUNDUP(R16*0.75,2)</f>
        <v>0.04</v>
      </c>
      <c r="T16" s="77">
        <f>ROUNDUP((R5*R16)+(R6*S16)+(R7*(R16*2)),2)</f>
        <v>0</v>
      </c>
    </row>
    <row r="17" spans="1:20" ht="18.75" customHeight="1" x14ac:dyDescent="0.15">
      <c r="A17" s="242"/>
      <c r="B17" s="82"/>
      <c r="C17" s="61"/>
      <c r="D17" s="62"/>
      <c r="E17" s="63"/>
      <c r="F17" s="64"/>
      <c r="G17" s="86"/>
      <c r="H17" s="90"/>
      <c r="I17" s="62"/>
      <c r="J17" s="64"/>
      <c r="K17" s="64"/>
      <c r="L17" s="64"/>
      <c r="M17" s="64"/>
      <c r="N17" s="94"/>
      <c r="O17" s="82"/>
      <c r="P17" s="65"/>
      <c r="Q17" s="62"/>
      <c r="R17" s="66"/>
      <c r="S17" s="63"/>
      <c r="T17" s="78"/>
    </row>
    <row r="18" spans="1:20" ht="18.75" customHeight="1" x14ac:dyDescent="0.15">
      <c r="A18" s="242"/>
      <c r="B18" s="81" t="s">
        <v>153</v>
      </c>
      <c r="C18" s="55" t="s">
        <v>156</v>
      </c>
      <c r="D18" s="56"/>
      <c r="E18" s="57">
        <v>30</v>
      </c>
      <c r="F18" s="58" t="s">
        <v>29</v>
      </c>
      <c r="G18" s="85"/>
      <c r="H18" s="89" t="s">
        <v>156</v>
      </c>
      <c r="I18" s="56"/>
      <c r="J18" s="58">
        <f>ROUNDUP(E18*0.75,2)</f>
        <v>22.5</v>
      </c>
      <c r="K18" s="58" t="s">
        <v>29</v>
      </c>
      <c r="L18" s="58"/>
      <c r="M18" s="58">
        <f>ROUNDUP((R5*E18)+(R6*J18)+(R7*(E18*2)),2)</f>
        <v>0</v>
      </c>
      <c r="N18" s="93">
        <f>ROUND(M18+(M18*3/100),2)</f>
        <v>0</v>
      </c>
      <c r="O18" s="81" t="s">
        <v>154</v>
      </c>
      <c r="P18" s="59" t="s">
        <v>50</v>
      </c>
      <c r="Q18" s="56"/>
      <c r="R18" s="60">
        <v>1</v>
      </c>
      <c r="S18" s="57">
        <f>ROUNDUP(R18*0.75,2)</f>
        <v>0.75</v>
      </c>
      <c r="T18" s="77">
        <f>ROUNDUP((R5*R18)+(R6*S18)+(R7*(R18*2)),2)</f>
        <v>0</v>
      </c>
    </row>
    <row r="19" spans="1:20" ht="18.75" customHeight="1" x14ac:dyDescent="0.15">
      <c r="A19" s="242"/>
      <c r="B19" s="81"/>
      <c r="C19" s="55" t="s">
        <v>33</v>
      </c>
      <c r="D19" s="56"/>
      <c r="E19" s="57">
        <v>10</v>
      </c>
      <c r="F19" s="58" t="s">
        <v>29</v>
      </c>
      <c r="G19" s="85"/>
      <c r="H19" s="89" t="s">
        <v>33</v>
      </c>
      <c r="I19" s="56"/>
      <c r="J19" s="58">
        <f>ROUNDUP(E19*0.75,2)</f>
        <v>7.5</v>
      </c>
      <c r="K19" s="58" t="s">
        <v>29</v>
      </c>
      <c r="L19" s="58"/>
      <c r="M19" s="58">
        <f>ROUNDUP((R5*E19)+(R6*J19)+(R7*(E19*2)),2)</f>
        <v>0</v>
      </c>
      <c r="N19" s="93">
        <f>ROUND(M19+(M19*10/100),2)</f>
        <v>0</v>
      </c>
      <c r="O19" s="81" t="s">
        <v>155</v>
      </c>
      <c r="P19" s="59" t="s">
        <v>26</v>
      </c>
      <c r="Q19" s="56" t="s">
        <v>27</v>
      </c>
      <c r="R19" s="60">
        <v>1</v>
      </c>
      <c r="S19" s="57">
        <f>ROUNDUP(R19*0.75,2)</f>
        <v>0.75</v>
      </c>
      <c r="T19" s="77">
        <f>ROUNDUP((R5*R19)+(R6*S19)+(R7*(R19*2)),2)</f>
        <v>0</v>
      </c>
    </row>
    <row r="20" spans="1:20" ht="18.75" customHeight="1" x14ac:dyDescent="0.15">
      <c r="A20" s="242"/>
      <c r="B20" s="81"/>
      <c r="C20" s="55"/>
      <c r="D20" s="56"/>
      <c r="E20" s="57"/>
      <c r="F20" s="58"/>
      <c r="G20" s="85"/>
      <c r="H20" s="89"/>
      <c r="I20" s="56"/>
      <c r="J20" s="58"/>
      <c r="K20" s="58"/>
      <c r="L20" s="58"/>
      <c r="M20" s="58"/>
      <c r="N20" s="93"/>
      <c r="O20" s="81" t="s">
        <v>28</v>
      </c>
      <c r="P20" s="59" t="s">
        <v>88</v>
      </c>
      <c r="Q20" s="56"/>
      <c r="R20" s="60">
        <v>2</v>
      </c>
      <c r="S20" s="57">
        <f>ROUNDUP(R20*0.75,2)</f>
        <v>1.5</v>
      </c>
      <c r="T20" s="77">
        <f>ROUNDUP((R5*R20)+(R6*S20)+(R7*(R20*2)),2)</f>
        <v>0</v>
      </c>
    </row>
    <row r="21" spans="1:20" ht="18.75" customHeight="1" x14ac:dyDescent="0.15">
      <c r="A21" s="242"/>
      <c r="B21" s="81"/>
      <c r="C21" s="55"/>
      <c r="D21" s="56"/>
      <c r="E21" s="57"/>
      <c r="F21" s="58"/>
      <c r="G21" s="85"/>
      <c r="H21" s="89"/>
      <c r="I21" s="56"/>
      <c r="J21" s="58"/>
      <c r="K21" s="58"/>
      <c r="L21" s="58"/>
      <c r="M21" s="58"/>
      <c r="N21" s="93"/>
      <c r="O21" s="81"/>
      <c r="P21" s="59" t="s">
        <v>71</v>
      </c>
      <c r="Q21" s="56"/>
      <c r="R21" s="60">
        <v>2</v>
      </c>
      <c r="S21" s="57">
        <f>ROUNDUP(R21*0.75,2)</f>
        <v>1.5</v>
      </c>
      <c r="T21" s="77">
        <f>ROUNDUP((R5*R21)+(R6*S21)+(R7*(R21*2)),2)</f>
        <v>0</v>
      </c>
    </row>
    <row r="22" spans="1:20" ht="18.75" customHeight="1" x14ac:dyDescent="0.15">
      <c r="A22" s="242"/>
      <c r="B22" s="82"/>
      <c r="C22" s="61"/>
      <c r="D22" s="62"/>
      <c r="E22" s="63"/>
      <c r="F22" s="64"/>
      <c r="G22" s="86"/>
      <c r="H22" s="90"/>
      <c r="I22" s="62"/>
      <c r="J22" s="64"/>
      <c r="K22" s="64"/>
      <c r="L22" s="64"/>
      <c r="M22" s="64"/>
      <c r="N22" s="94"/>
      <c r="O22" s="82"/>
      <c r="P22" s="65"/>
      <c r="Q22" s="62"/>
      <c r="R22" s="66"/>
      <c r="S22" s="63"/>
      <c r="T22" s="78"/>
    </row>
    <row r="23" spans="1:20" ht="18.75" customHeight="1" x14ac:dyDescent="0.15">
      <c r="A23" s="242"/>
      <c r="B23" s="81" t="s">
        <v>58</v>
      </c>
      <c r="C23" s="55" t="s">
        <v>81</v>
      </c>
      <c r="D23" s="56"/>
      <c r="E23" s="57">
        <v>5</v>
      </c>
      <c r="F23" s="58" t="s">
        <v>29</v>
      </c>
      <c r="G23" s="85"/>
      <c r="H23" s="89" t="s">
        <v>81</v>
      </c>
      <c r="I23" s="56"/>
      <c r="J23" s="58">
        <f>ROUNDUP(E23*0.75,2)</f>
        <v>3.75</v>
      </c>
      <c r="K23" s="58" t="s">
        <v>29</v>
      </c>
      <c r="L23" s="58"/>
      <c r="M23" s="58">
        <f>ROUNDUP((R5*E23)+(R6*J23)+(R7*(E23*2)),2)</f>
        <v>0</v>
      </c>
      <c r="N23" s="93">
        <f>ROUND(M23+(M23*10/100),2)</f>
        <v>0</v>
      </c>
      <c r="O23" s="81" t="s">
        <v>28</v>
      </c>
      <c r="P23" s="59" t="s">
        <v>25</v>
      </c>
      <c r="Q23" s="56"/>
      <c r="R23" s="60">
        <v>100</v>
      </c>
      <c r="S23" s="57">
        <f>ROUNDUP(R23*0.75,2)</f>
        <v>75</v>
      </c>
      <c r="T23" s="77">
        <f>ROUNDUP((R5*R23)+(R6*S23)+(R7*(R23*2)),2)</f>
        <v>0</v>
      </c>
    </row>
    <row r="24" spans="1:20" ht="18.75" customHeight="1" x14ac:dyDescent="0.15">
      <c r="A24" s="242"/>
      <c r="B24" s="81"/>
      <c r="C24" s="55" t="s">
        <v>157</v>
      </c>
      <c r="D24" s="56" t="s">
        <v>27</v>
      </c>
      <c r="E24" s="97">
        <v>0.1</v>
      </c>
      <c r="F24" s="58" t="s">
        <v>24</v>
      </c>
      <c r="G24" s="85"/>
      <c r="H24" s="89" t="s">
        <v>157</v>
      </c>
      <c r="I24" s="56" t="s">
        <v>27</v>
      </c>
      <c r="J24" s="58">
        <f>ROUNDUP(E24*0.75,2)</f>
        <v>0.08</v>
      </c>
      <c r="K24" s="58" t="s">
        <v>24</v>
      </c>
      <c r="L24" s="58"/>
      <c r="M24" s="58">
        <f>ROUNDUP((R5*E24)+(R6*J24)+(R7*(E24*2)),2)</f>
        <v>0</v>
      </c>
      <c r="N24" s="93">
        <f>M24</f>
        <v>0</v>
      </c>
      <c r="O24" s="81"/>
      <c r="P24" s="59" t="s">
        <v>59</v>
      </c>
      <c r="Q24" s="56"/>
      <c r="R24" s="60">
        <v>3</v>
      </c>
      <c r="S24" s="57">
        <f>ROUNDUP(R24*0.75,2)</f>
        <v>2.25</v>
      </c>
      <c r="T24" s="77">
        <f>ROUNDUP((R5*R24)+(R6*S24)+(R7*(R24*2)),2)</f>
        <v>0</v>
      </c>
    </row>
    <row r="25" spans="1:20" ht="18.75" customHeight="1" x14ac:dyDescent="0.15">
      <c r="A25" s="242"/>
      <c r="B25" s="82"/>
      <c r="C25" s="61"/>
      <c r="D25" s="62"/>
      <c r="E25" s="63"/>
      <c r="F25" s="64"/>
      <c r="G25" s="86"/>
      <c r="H25" s="90"/>
      <c r="I25" s="62"/>
      <c r="J25" s="64"/>
      <c r="K25" s="64"/>
      <c r="L25" s="64"/>
      <c r="M25" s="64"/>
      <c r="N25" s="94"/>
      <c r="O25" s="82"/>
      <c r="P25" s="65"/>
      <c r="Q25" s="62"/>
      <c r="R25" s="66"/>
      <c r="S25" s="63"/>
      <c r="T25" s="78"/>
    </row>
    <row r="26" spans="1:20" ht="18.75" customHeight="1" x14ac:dyDescent="0.15">
      <c r="A26" s="242"/>
      <c r="B26" s="81" t="s">
        <v>158</v>
      </c>
      <c r="C26" s="55" t="s">
        <v>159</v>
      </c>
      <c r="D26" s="56"/>
      <c r="E26" s="74">
        <v>0.25</v>
      </c>
      <c r="F26" s="58" t="s">
        <v>160</v>
      </c>
      <c r="G26" s="85"/>
      <c r="H26" s="89" t="s">
        <v>159</v>
      </c>
      <c r="I26" s="56"/>
      <c r="J26" s="58">
        <f>ROUNDUP(E26*0.75,2)</f>
        <v>0.19</v>
      </c>
      <c r="K26" s="58" t="s">
        <v>160</v>
      </c>
      <c r="L26" s="58"/>
      <c r="M26" s="58">
        <f>ROUNDUP((R5*E26)+(R6*J26)+(R7*(E26*2)),2)</f>
        <v>0</v>
      </c>
      <c r="N26" s="93">
        <f>M26</f>
        <v>0</v>
      </c>
      <c r="O26" s="81" t="s">
        <v>61</v>
      </c>
      <c r="P26" s="59"/>
      <c r="Q26" s="56"/>
      <c r="R26" s="60"/>
      <c r="S26" s="57"/>
      <c r="T26" s="77"/>
    </row>
    <row r="27" spans="1:20" ht="18.75" customHeight="1" thickBot="1" x14ac:dyDescent="0.2">
      <c r="A27" s="243"/>
      <c r="B27" s="83"/>
      <c r="C27" s="68"/>
      <c r="D27" s="69"/>
      <c r="E27" s="70"/>
      <c r="F27" s="71"/>
      <c r="G27" s="87"/>
      <c r="H27" s="91"/>
      <c r="I27" s="69"/>
      <c r="J27" s="71"/>
      <c r="K27" s="71"/>
      <c r="L27" s="71"/>
      <c r="M27" s="71"/>
      <c r="N27" s="95"/>
      <c r="O27" s="83"/>
      <c r="P27" s="72"/>
      <c r="Q27" s="69"/>
      <c r="R27" s="73"/>
      <c r="S27" s="70"/>
      <c r="T27" s="79"/>
    </row>
  </sheetData>
  <mergeCells count="5">
    <mergeCell ref="H1:O1"/>
    <mergeCell ref="A2:T2"/>
    <mergeCell ref="Q3:T3"/>
    <mergeCell ref="A8:F8"/>
    <mergeCell ref="A10:A27"/>
  </mergeCells>
  <phoneticPr fontId="19"/>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2</vt:i4>
      </vt:variant>
    </vt:vector>
  </HeadingPairs>
  <TitlesOfParts>
    <vt:vector size="42" baseType="lpstr">
      <vt:lpstr>キッズ月間(昼)</vt:lpstr>
      <vt:lpstr>離乳食月間</vt:lpstr>
      <vt:lpstr>11月2日（月）</vt:lpstr>
      <vt:lpstr>11月2日離乳食</vt:lpstr>
      <vt:lpstr>11月4日（水）</vt:lpstr>
      <vt:lpstr>11月4日離乳食</vt:lpstr>
      <vt:lpstr>11月5日（木）</vt:lpstr>
      <vt:lpstr>11月5日離乳食</vt:lpstr>
      <vt:lpstr>11月6日（金）</vt:lpstr>
      <vt:lpstr>11月6日離乳食</vt:lpstr>
      <vt:lpstr>11月9日（月）</vt:lpstr>
      <vt:lpstr>11月9日離乳食</vt:lpstr>
      <vt:lpstr>11月10日（火）</vt:lpstr>
      <vt:lpstr>11月10日離乳食</vt:lpstr>
      <vt:lpstr>11月11日（水）</vt:lpstr>
      <vt:lpstr>11月11日離乳食</vt:lpstr>
      <vt:lpstr>11月12日（木）</vt:lpstr>
      <vt:lpstr>11月12日離乳食</vt:lpstr>
      <vt:lpstr>11月13日（金）</vt:lpstr>
      <vt:lpstr>11月13日離乳食</vt:lpstr>
      <vt:lpstr>11月16日（月）</vt:lpstr>
      <vt:lpstr>11月16日離乳食</vt:lpstr>
      <vt:lpstr>11月17日（火）</vt:lpstr>
      <vt:lpstr>11月17日離乳食</vt:lpstr>
      <vt:lpstr>11月18日（水）</vt:lpstr>
      <vt:lpstr>11月18日離乳食</vt:lpstr>
      <vt:lpstr>11月19日（木）</vt:lpstr>
      <vt:lpstr>11月19日離乳食</vt:lpstr>
      <vt:lpstr>11月20日（金）</vt:lpstr>
      <vt:lpstr>11月20日離乳食</vt:lpstr>
      <vt:lpstr>11月24日（火）</vt:lpstr>
      <vt:lpstr>11月24日離乳食</vt:lpstr>
      <vt:lpstr>11月25日（水）</vt:lpstr>
      <vt:lpstr>11月25日離乳食</vt:lpstr>
      <vt:lpstr>11月26日（木）</vt:lpstr>
      <vt:lpstr>11月26日離乳食</vt:lpstr>
      <vt:lpstr>11月27日（金）</vt:lpstr>
      <vt:lpstr>11月27日離乳食</vt:lpstr>
      <vt:lpstr>11月30日（月）</vt:lpstr>
      <vt:lpstr>11月30日離乳食</vt:lpstr>
      <vt:lpstr>'キッズ月間(昼)'!Print_Area</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2020-09-24T05:08:36Z</cp:lastPrinted>
  <dcterms:created xsi:type="dcterms:W3CDTF">2019-03-20T06:11:51Z</dcterms:created>
  <dcterms:modified xsi:type="dcterms:W3CDTF">2020-10-12T02:08:40Z</dcterms:modified>
</cp:coreProperties>
</file>