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esktop\保育園\給食\03\"/>
    </mc:Choice>
  </mc:AlternateContent>
  <bookViews>
    <workbookView xWindow="0" yWindow="0" windowWidth="15360" windowHeight="7770"/>
  </bookViews>
  <sheets>
    <sheet name="キッズ月間(昼)" sheetId="46" r:id="rId1"/>
    <sheet name="3月2日（月）" sheetId="3" r:id="rId2"/>
    <sheet name="3月3日（火）" sheetId="4" r:id="rId3"/>
    <sheet name="3月4日（水）" sheetId="5" r:id="rId4"/>
    <sheet name="3月5日（木）" sheetId="43" r:id="rId5"/>
    <sheet name="3月6日（金）" sheetId="7" r:id="rId6"/>
    <sheet name="3月9日（月）" sheetId="10" r:id="rId7"/>
    <sheet name="3月10日（火）" sheetId="38" r:id="rId8"/>
    <sheet name="3月11日（水）" sheetId="12" r:id="rId9"/>
    <sheet name="3月12日（木）" sheetId="13" r:id="rId10"/>
    <sheet name="3月13日（金）" sheetId="14" r:id="rId11"/>
    <sheet name="3月16日（月）" sheetId="17" r:id="rId12"/>
    <sheet name="3月17日(火)" sheetId="47" r:id="rId13"/>
    <sheet name="3月18日（水）" sheetId="19" r:id="rId14"/>
    <sheet name="3月19日（木）" sheetId="44" r:id="rId15"/>
    <sheet name="3月23日（月）" sheetId="24" r:id="rId16"/>
    <sheet name="3月24日（火） " sheetId="37" r:id="rId17"/>
    <sheet name="3月25日（水）" sheetId="26" r:id="rId18"/>
    <sheet name="3月26日（木）" sheetId="27" r:id="rId19"/>
    <sheet name="3月27日（金）" sheetId="28" r:id="rId20"/>
    <sheet name="3月30日（月）" sheetId="31" r:id="rId21"/>
    <sheet name="3月31日（火）" sheetId="32" r:id="rId22"/>
  </sheets>
  <externalReferences>
    <externalReference r:id="rId23"/>
  </externalReferences>
  <definedNames>
    <definedName name="_xlnm.Print_Area" localSheetId="12">#REF!</definedName>
    <definedName name="_xlnm.Print_Area" localSheetId="0">'キッズ月間(昼)'!$A$1:$AC$92</definedName>
    <definedName name="_xlnm.Print_Area">#REF!</definedName>
  </definedNames>
  <calcPr calcId="152511"/>
</workbook>
</file>

<file path=xl/calcChain.xml><?xml version="1.0" encoding="utf-8"?>
<calcChain xmlns="http://schemas.openxmlformats.org/spreadsheetml/2006/main">
  <c r="Z65" i="46" l="1"/>
  <c r="Z64" i="46"/>
  <c r="M64" i="46"/>
  <c r="K64" i="46"/>
  <c r="F64" i="46"/>
  <c r="E64" i="46"/>
  <c r="D64" i="46"/>
  <c r="Z63" i="46"/>
  <c r="M63" i="46"/>
  <c r="K63" i="46"/>
  <c r="F63" i="46"/>
  <c r="E63" i="46"/>
  <c r="D63" i="46"/>
  <c r="Z62" i="46"/>
  <c r="Z61" i="46"/>
  <c r="Z60" i="46"/>
  <c r="Z59" i="46"/>
  <c r="Z58" i="46"/>
  <c r="K58" i="46"/>
  <c r="Z57" i="46"/>
  <c r="K57" i="46"/>
  <c r="Z56" i="46"/>
  <c r="K56" i="46"/>
  <c r="K55" i="46"/>
  <c r="K54" i="46"/>
  <c r="Z53" i="46"/>
  <c r="K53" i="46"/>
  <c r="Z52" i="46"/>
  <c r="K52" i="46"/>
  <c r="Z51" i="46"/>
  <c r="K51" i="46"/>
  <c r="Z50" i="46"/>
  <c r="K50" i="46"/>
  <c r="Z49" i="46"/>
  <c r="K49" i="46"/>
  <c r="Z48" i="46"/>
  <c r="K48" i="46"/>
  <c r="Z47" i="46"/>
  <c r="K47" i="46"/>
  <c r="Z46" i="46"/>
  <c r="K46" i="46"/>
  <c r="Z45" i="46"/>
  <c r="K45" i="46"/>
  <c r="Z44" i="46"/>
  <c r="K44" i="46"/>
  <c r="Z43" i="46"/>
  <c r="K43" i="46"/>
  <c r="Z42" i="46"/>
  <c r="K42" i="46"/>
  <c r="Z41" i="46"/>
  <c r="K41" i="46"/>
  <c r="Z40" i="46"/>
  <c r="K40" i="46"/>
  <c r="Z39" i="46"/>
  <c r="K39" i="46"/>
  <c r="Z38" i="46"/>
  <c r="K38" i="46"/>
  <c r="Z37" i="46"/>
  <c r="K37" i="46"/>
  <c r="Z36" i="46"/>
  <c r="K36" i="46"/>
  <c r="Z35" i="46"/>
  <c r="K35" i="46"/>
  <c r="Z34" i="46"/>
  <c r="K34" i="46"/>
  <c r="Z33" i="46"/>
  <c r="Z32" i="46"/>
  <c r="Z31" i="46"/>
  <c r="K31" i="46"/>
  <c r="Z30" i="46"/>
  <c r="K30" i="46"/>
  <c r="Z29" i="46"/>
  <c r="K29" i="46"/>
  <c r="K28" i="46"/>
  <c r="K27" i="46"/>
  <c r="Z26" i="46"/>
  <c r="K26" i="46"/>
  <c r="Z25" i="46"/>
  <c r="K25" i="46"/>
  <c r="Z24" i="46"/>
  <c r="K24" i="46"/>
  <c r="Z23" i="46"/>
  <c r="K23" i="46"/>
  <c r="Z22" i="46"/>
  <c r="K22" i="46"/>
  <c r="Z21" i="46"/>
  <c r="K21" i="46"/>
  <c r="Z20" i="46"/>
  <c r="K20" i="46"/>
  <c r="Z19" i="46"/>
  <c r="K19" i="46"/>
  <c r="Z18" i="46"/>
  <c r="K18" i="46"/>
  <c r="Z17" i="46"/>
  <c r="K17" i="46"/>
  <c r="K16" i="46"/>
  <c r="K15" i="46"/>
  <c r="K14" i="46"/>
  <c r="K13" i="46"/>
  <c r="K12" i="46"/>
  <c r="Z11" i="46"/>
  <c r="K11" i="46"/>
  <c r="Z10" i="46"/>
  <c r="K10" i="46"/>
  <c r="Z9" i="46"/>
  <c r="K9" i="46"/>
  <c r="Z8" i="46"/>
  <c r="K8" i="46"/>
  <c r="Z7" i="46"/>
  <c r="K7" i="46"/>
  <c r="R22" i="44" l="1"/>
  <c r="J22" i="44"/>
  <c r="M22" i="44" s="1"/>
  <c r="R21" i="44"/>
  <c r="J21" i="44"/>
  <c r="M21" i="44" s="1"/>
  <c r="R17" i="44"/>
  <c r="R16" i="44"/>
  <c r="J16" i="44"/>
  <c r="M16" i="44" s="1"/>
  <c r="R14" i="44"/>
  <c r="R13" i="44"/>
  <c r="R12" i="44"/>
  <c r="J12" i="44"/>
  <c r="M12" i="44" s="1"/>
  <c r="R11" i="44"/>
  <c r="J11" i="44"/>
  <c r="M11" i="44" s="1"/>
  <c r="R10" i="44"/>
  <c r="J10" i="44"/>
  <c r="M10" i="44" s="1"/>
  <c r="R9" i="44"/>
  <c r="J9" i="44"/>
  <c r="M9" i="44" s="1"/>
  <c r="R8" i="44"/>
  <c r="J8" i="44"/>
  <c r="M8" i="44" s="1"/>
  <c r="R7" i="44"/>
  <c r="J7" i="44"/>
  <c r="M7" i="44" s="1"/>
  <c r="R5" i="44"/>
  <c r="R22" i="43"/>
  <c r="J22" i="43"/>
  <c r="M22" i="43" s="1"/>
  <c r="R21" i="43"/>
  <c r="J21" i="43"/>
  <c r="M21" i="43" s="1"/>
  <c r="R17" i="43"/>
  <c r="R16" i="43"/>
  <c r="J16" i="43"/>
  <c r="M16" i="43" s="1"/>
  <c r="R14" i="43"/>
  <c r="R13" i="43"/>
  <c r="R12" i="43"/>
  <c r="J12" i="43"/>
  <c r="M12" i="43" s="1"/>
  <c r="R11" i="43"/>
  <c r="J11" i="43"/>
  <c r="M11" i="43" s="1"/>
  <c r="R10" i="43"/>
  <c r="J10" i="43"/>
  <c r="M10" i="43" s="1"/>
  <c r="R9" i="43"/>
  <c r="J9" i="43"/>
  <c r="M9" i="43" s="1"/>
  <c r="R8" i="43"/>
  <c r="J8" i="43"/>
  <c r="M8" i="43" s="1"/>
  <c r="R7" i="43"/>
  <c r="J7" i="43"/>
  <c r="M7" i="43"/>
  <c r="R5" i="43"/>
  <c r="J23" i="38"/>
  <c r="M23" i="38" s="1"/>
  <c r="R21" i="38"/>
  <c r="J21" i="38"/>
  <c r="M21" i="38" s="1"/>
  <c r="R20" i="38"/>
  <c r="M20" i="38"/>
  <c r="J20" i="38"/>
  <c r="R18" i="38"/>
  <c r="R17" i="38"/>
  <c r="J17" i="38"/>
  <c r="M17" i="38"/>
  <c r="R16" i="38"/>
  <c r="J16" i="38"/>
  <c r="M16" i="38" s="1"/>
  <c r="R15" i="38"/>
  <c r="J15" i="38"/>
  <c r="M15" i="38" s="1"/>
  <c r="R11" i="38"/>
  <c r="R10" i="38"/>
  <c r="J10" i="38"/>
  <c r="M10" i="38" s="1"/>
  <c r="R9" i="38"/>
  <c r="J9" i="38"/>
  <c r="M9" i="38" s="1"/>
  <c r="R8" i="38"/>
  <c r="J8" i="38"/>
  <c r="M8" i="38" s="1"/>
  <c r="R7" i="38"/>
  <c r="J7" i="38"/>
  <c r="M7" i="38" s="1"/>
  <c r="R5" i="38"/>
  <c r="J23" i="37"/>
  <c r="M23" i="37" s="1"/>
  <c r="R21" i="37"/>
  <c r="J21" i="37"/>
  <c r="M21" i="37" s="1"/>
  <c r="R20" i="37"/>
  <c r="J20" i="37"/>
  <c r="M20" i="37" s="1"/>
  <c r="R18" i="37"/>
  <c r="R17" i="37"/>
  <c r="J17" i="37"/>
  <c r="M17" i="37"/>
  <c r="R16" i="37"/>
  <c r="J16" i="37"/>
  <c r="M16" i="37" s="1"/>
  <c r="R15" i="37"/>
  <c r="J15" i="37"/>
  <c r="M15" i="37" s="1"/>
  <c r="R11" i="37"/>
  <c r="R10" i="37"/>
  <c r="J10" i="37"/>
  <c r="M10" i="37" s="1"/>
  <c r="R9" i="37"/>
  <c r="M9" i="37"/>
  <c r="J9" i="37"/>
  <c r="R8" i="37"/>
  <c r="J8" i="37"/>
  <c r="M8" i="37" s="1"/>
  <c r="R7" i="37"/>
  <c r="J7" i="37"/>
  <c r="M7" i="37"/>
  <c r="R5" i="37"/>
  <c r="R22" i="32"/>
  <c r="R21" i="32"/>
  <c r="J22" i="32"/>
  <c r="M22" i="32" s="1"/>
  <c r="J21" i="32"/>
  <c r="M21" i="32" s="1"/>
  <c r="R19" i="32"/>
  <c r="R18" i="32"/>
  <c r="R17" i="32"/>
  <c r="R16" i="32"/>
  <c r="R15" i="32"/>
  <c r="J17" i="32"/>
  <c r="M17" i="32" s="1"/>
  <c r="J16" i="32"/>
  <c r="M16" i="32" s="1"/>
  <c r="J15" i="32"/>
  <c r="M15" i="32" s="1"/>
  <c r="M12" i="32"/>
  <c r="J12" i="32"/>
  <c r="J11" i="32"/>
  <c r="M11" i="32" s="1"/>
  <c r="R13" i="32"/>
  <c r="R12" i="32"/>
  <c r="R11" i="32"/>
  <c r="J10" i="32"/>
  <c r="M10" i="32" s="1"/>
  <c r="R10" i="32"/>
  <c r="R9" i="32"/>
  <c r="R8" i="32"/>
  <c r="R7" i="32"/>
  <c r="J9" i="32"/>
  <c r="M9" i="32" s="1"/>
  <c r="J8" i="32"/>
  <c r="M8" i="32" s="1"/>
  <c r="M7" i="32"/>
  <c r="J7" i="32"/>
  <c r="R5" i="32"/>
  <c r="R22" i="31"/>
  <c r="R21" i="31"/>
  <c r="R20" i="31"/>
  <c r="R19" i="31"/>
  <c r="J20" i="31"/>
  <c r="M20" i="31" s="1"/>
  <c r="R18" i="31"/>
  <c r="J19" i="31"/>
  <c r="M19" i="31" s="1"/>
  <c r="J18" i="31"/>
  <c r="M18" i="31" s="1"/>
  <c r="R16" i="31"/>
  <c r="R15" i="31"/>
  <c r="R14" i="31"/>
  <c r="R13" i="31"/>
  <c r="R12" i="31"/>
  <c r="J15" i="31"/>
  <c r="M15" i="31" s="1"/>
  <c r="J14" i="31"/>
  <c r="M14" i="31" s="1"/>
  <c r="J13" i="31"/>
  <c r="M13" i="31" s="1"/>
  <c r="J12" i="31"/>
  <c r="M12" i="31" s="1"/>
  <c r="M8" i="31"/>
  <c r="J8" i="31"/>
  <c r="R10" i="31"/>
  <c r="R9" i="31"/>
  <c r="R8" i="31"/>
  <c r="R7" i="31"/>
  <c r="J7" i="31"/>
  <c r="M7" i="31" s="1"/>
  <c r="R6" i="31"/>
  <c r="M6" i="31"/>
  <c r="J6" i="31"/>
  <c r="R5" i="31"/>
  <c r="M5" i="31"/>
  <c r="J5" i="31"/>
  <c r="J21" i="28"/>
  <c r="M21" i="28" s="1"/>
  <c r="R19" i="28"/>
  <c r="R18" i="28"/>
  <c r="R17" i="28"/>
  <c r="R16" i="28"/>
  <c r="M19" i="28"/>
  <c r="J19" i="28"/>
  <c r="J18" i="28"/>
  <c r="M18" i="28" s="1"/>
  <c r="J17" i="28"/>
  <c r="M17" i="28" s="1"/>
  <c r="J16" i="28"/>
  <c r="M16" i="28" s="1"/>
  <c r="J14" i="28"/>
  <c r="M14" i="28" s="1"/>
  <c r="R8" i="28"/>
  <c r="R7" i="28"/>
  <c r="J13" i="28"/>
  <c r="M13" i="28" s="1"/>
  <c r="J12" i="28"/>
  <c r="M12" i="28" s="1"/>
  <c r="M11" i="28"/>
  <c r="J11" i="28"/>
  <c r="J10" i="28"/>
  <c r="M10" i="28" s="1"/>
  <c r="J9" i="28"/>
  <c r="M9" i="28" s="1"/>
  <c r="J8" i="28"/>
  <c r="M8" i="28" s="1"/>
  <c r="J7" i="28"/>
  <c r="M7" i="28" s="1"/>
  <c r="R5" i="28"/>
  <c r="J23" i="27"/>
  <c r="M23" i="27" s="1"/>
  <c r="R21" i="27"/>
  <c r="R20" i="27"/>
  <c r="J21" i="27"/>
  <c r="M21" i="27" s="1"/>
  <c r="J20" i="27"/>
  <c r="M20" i="27" s="1"/>
  <c r="R18" i="27"/>
  <c r="R17" i="27"/>
  <c r="R16" i="27"/>
  <c r="J18" i="27"/>
  <c r="M18" i="27" s="1"/>
  <c r="J17" i="27"/>
  <c r="M17" i="27" s="1"/>
  <c r="J16" i="27"/>
  <c r="M16" i="27" s="1"/>
  <c r="M10" i="27"/>
  <c r="J10" i="27"/>
  <c r="R14" i="27"/>
  <c r="R13" i="27"/>
  <c r="R12" i="27"/>
  <c r="R11" i="27"/>
  <c r="R10" i="27"/>
  <c r="R9" i="27"/>
  <c r="R8" i="27"/>
  <c r="R7" i="27"/>
  <c r="J9" i="27"/>
  <c r="M9" i="27" s="1"/>
  <c r="J8" i="27"/>
  <c r="M8" i="27" s="1"/>
  <c r="J7" i="27"/>
  <c r="M7" i="27" s="1"/>
  <c r="R5" i="27"/>
  <c r="R18" i="26"/>
  <c r="R17" i="26"/>
  <c r="J17" i="26"/>
  <c r="M17" i="26" s="1"/>
  <c r="R14" i="26"/>
  <c r="R13" i="26"/>
  <c r="R12" i="26"/>
  <c r="M15" i="26"/>
  <c r="J15" i="26"/>
  <c r="J14" i="26"/>
  <c r="M14" i="26" s="1"/>
  <c r="J13" i="26"/>
  <c r="M13" i="26" s="1"/>
  <c r="J12" i="26"/>
  <c r="M12" i="26" s="1"/>
  <c r="J10" i="26"/>
  <c r="M10" i="26" s="1"/>
  <c r="R10" i="26"/>
  <c r="J9" i="26"/>
  <c r="M9" i="26" s="1"/>
  <c r="R9" i="26"/>
  <c r="R8" i="26"/>
  <c r="R7" i="26"/>
  <c r="R6" i="26"/>
  <c r="R5" i="26"/>
  <c r="J8" i="26"/>
  <c r="M8" i="26" s="1"/>
  <c r="J7" i="26"/>
  <c r="M7" i="26" s="1"/>
  <c r="J6" i="26"/>
  <c r="M6" i="26" s="1"/>
  <c r="J5" i="26"/>
  <c r="M5" i="26" s="1"/>
  <c r="R21" i="24"/>
  <c r="R20" i="24"/>
  <c r="R19" i="24"/>
  <c r="J20" i="24"/>
  <c r="M20" i="24" s="1"/>
  <c r="M19" i="24"/>
  <c r="J19" i="24"/>
  <c r="R17" i="24"/>
  <c r="R16" i="24"/>
  <c r="R15" i="24"/>
  <c r="R14" i="24"/>
  <c r="M15" i="24"/>
  <c r="J15" i="24"/>
  <c r="J14" i="24"/>
  <c r="M14" i="24" s="1"/>
  <c r="R12" i="24"/>
  <c r="R11" i="24"/>
  <c r="R10" i="24"/>
  <c r="R9" i="24"/>
  <c r="R8" i="24"/>
  <c r="M10" i="24"/>
  <c r="J10" i="24"/>
  <c r="J9" i="24"/>
  <c r="M9" i="24" s="1"/>
  <c r="J8" i="24"/>
  <c r="M8" i="24" s="1"/>
  <c r="R7" i="24"/>
  <c r="J7" i="24"/>
  <c r="M7" i="24" s="1"/>
  <c r="J5" i="24"/>
  <c r="M5" i="24" s="1"/>
  <c r="R5" i="24"/>
  <c r="J24" i="19"/>
  <c r="M24" i="19" s="1"/>
  <c r="R22" i="19"/>
  <c r="R21" i="19"/>
  <c r="M22" i="19"/>
  <c r="J22" i="19"/>
  <c r="J21" i="19"/>
  <c r="M21" i="19" s="1"/>
  <c r="R18" i="19"/>
  <c r="R17" i="19"/>
  <c r="R16" i="19"/>
  <c r="M18" i="19"/>
  <c r="J18" i="19"/>
  <c r="J17" i="19"/>
  <c r="M17" i="19" s="1"/>
  <c r="J16" i="19"/>
  <c r="M16" i="19" s="1"/>
  <c r="R14" i="19"/>
  <c r="R13" i="19"/>
  <c r="R12" i="19"/>
  <c r="J9" i="19"/>
  <c r="M9" i="19" s="1"/>
  <c r="J8" i="19"/>
  <c r="M8" i="19" s="1"/>
  <c r="R11" i="19"/>
  <c r="R10" i="19"/>
  <c r="R9" i="19"/>
  <c r="R8" i="19"/>
  <c r="R7" i="19"/>
  <c r="J7" i="19"/>
  <c r="M7" i="19" s="1"/>
  <c r="R5" i="19"/>
  <c r="R22" i="17"/>
  <c r="R21" i="17"/>
  <c r="R20" i="17"/>
  <c r="R19" i="17"/>
  <c r="J20" i="17"/>
  <c r="M20" i="17" s="1"/>
  <c r="R18" i="17"/>
  <c r="J19" i="17"/>
  <c r="M19" i="17" s="1"/>
  <c r="J18" i="17"/>
  <c r="M18" i="17" s="1"/>
  <c r="R16" i="17"/>
  <c r="R15" i="17"/>
  <c r="R14" i="17"/>
  <c r="R13" i="17"/>
  <c r="R12" i="17"/>
  <c r="J15" i="17"/>
  <c r="M15" i="17" s="1"/>
  <c r="J14" i="17"/>
  <c r="M14" i="17" s="1"/>
  <c r="J13" i="17"/>
  <c r="M13" i="17" s="1"/>
  <c r="J12" i="17"/>
  <c r="M12" i="17" s="1"/>
  <c r="J8" i="17"/>
  <c r="M8" i="17" s="1"/>
  <c r="R10" i="17"/>
  <c r="R9" i="17"/>
  <c r="R8" i="17"/>
  <c r="R7" i="17"/>
  <c r="J7" i="17"/>
  <c r="M7" i="17" s="1"/>
  <c r="R6" i="17"/>
  <c r="J6" i="17"/>
  <c r="M6" i="17" s="1"/>
  <c r="R5" i="17"/>
  <c r="J5" i="17"/>
  <c r="M5" i="17" s="1"/>
  <c r="J20" i="14"/>
  <c r="M20" i="14" s="1"/>
  <c r="R18" i="14"/>
  <c r="R17" i="14"/>
  <c r="R16" i="14"/>
  <c r="R15" i="14"/>
  <c r="J18" i="14"/>
  <c r="M18" i="14" s="1"/>
  <c r="J17" i="14"/>
  <c r="M17" i="14" s="1"/>
  <c r="J16" i="14"/>
  <c r="M16" i="14" s="1"/>
  <c r="J15" i="14"/>
  <c r="M15" i="14" s="1"/>
  <c r="R11" i="14"/>
  <c r="R10" i="14"/>
  <c r="J13" i="14"/>
  <c r="M13" i="14" s="1"/>
  <c r="J12" i="14"/>
  <c r="M12" i="14" s="1"/>
  <c r="J11" i="14"/>
  <c r="M11" i="14" s="1"/>
  <c r="J10" i="14"/>
  <c r="M10" i="14" s="1"/>
  <c r="J9" i="14"/>
  <c r="M9" i="14" s="1"/>
  <c r="J8" i="14"/>
  <c r="M8" i="14" s="1"/>
  <c r="R9" i="14"/>
  <c r="R8" i="14"/>
  <c r="J7" i="14"/>
  <c r="M7" i="14" s="1"/>
  <c r="R7" i="14"/>
  <c r="J23" i="13"/>
  <c r="M23" i="13" s="1"/>
  <c r="R21" i="13"/>
  <c r="R20" i="13"/>
  <c r="J21" i="13"/>
  <c r="M21" i="13" s="1"/>
  <c r="J20" i="13"/>
  <c r="M20" i="13" s="1"/>
  <c r="R18" i="13"/>
  <c r="R17" i="13"/>
  <c r="R16" i="13"/>
  <c r="J18" i="13"/>
  <c r="M18" i="13" s="1"/>
  <c r="J17" i="13"/>
  <c r="M17" i="13" s="1"/>
  <c r="M16" i="13"/>
  <c r="J16" i="13"/>
  <c r="M10" i="13"/>
  <c r="J10" i="13"/>
  <c r="R14" i="13"/>
  <c r="R13" i="13"/>
  <c r="R12" i="13"/>
  <c r="R11" i="13"/>
  <c r="R10" i="13"/>
  <c r="R9" i="13"/>
  <c r="R8" i="13"/>
  <c r="R7" i="13"/>
  <c r="J9" i="13"/>
  <c r="M9" i="13" s="1"/>
  <c r="J8" i="13"/>
  <c r="M8" i="13" s="1"/>
  <c r="M7" i="13"/>
  <c r="J7" i="13"/>
  <c r="R5" i="13"/>
  <c r="R18" i="12"/>
  <c r="R17" i="12"/>
  <c r="J17" i="12"/>
  <c r="M17" i="12" s="1"/>
  <c r="R14" i="12"/>
  <c r="R13" i="12"/>
  <c r="R12" i="12"/>
  <c r="J15" i="12"/>
  <c r="M15" i="12" s="1"/>
  <c r="J14" i="12"/>
  <c r="M14" i="12" s="1"/>
  <c r="J13" i="12"/>
  <c r="M13" i="12" s="1"/>
  <c r="J12" i="12"/>
  <c r="M12" i="12" s="1"/>
  <c r="J10" i="12"/>
  <c r="M10" i="12" s="1"/>
  <c r="R10" i="12"/>
  <c r="J9" i="12"/>
  <c r="M9" i="12" s="1"/>
  <c r="R9" i="12"/>
  <c r="R8" i="12"/>
  <c r="R7" i="12"/>
  <c r="R6" i="12"/>
  <c r="R5" i="12"/>
  <c r="J8" i="12"/>
  <c r="M8" i="12" s="1"/>
  <c r="J7" i="12"/>
  <c r="M7" i="12" s="1"/>
  <c r="J6" i="12"/>
  <c r="M6" i="12" s="1"/>
  <c r="J5" i="12"/>
  <c r="M5" i="12" s="1"/>
  <c r="R21" i="10"/>
  <c r="R20" i="10"/>
  <c r="R19" i="10"/>
  <c r="J20" i="10"/>
  <c r="M20" i="10" s="1"/>
  <c r="J19" i="10"/>
  <c r="M19" i="10" s="1"/>
  <c r="R17" i="10"/>
  <c r="R16" i="10"/>
  <c r="R15" i="10"/>
  <c r="R14" i="10"/>
  <c r="J15" i="10"/>
  <c r="M15" i="10" s="1"/>
  <c r="J14" i="10"/>
  <c r="M14" i="10" s="1"/>
  <c r="R12" i="10"/>
  <c r="R11" i="10"/>
  <c r="R10" i="10"/>
  <c r="R9" i="10"/>
  <c r="R8" i="10"/>
  <c r="J10" i="10"/>
  <c r="M10" i="10" s="1"/>
  <c r="J9" i="10"/>
  <c r="M9" i="10" s="1"/>
  <c r="J8" i="10"/>
  <c r="M8" i="10" s="1"/>
  <c r="R7" i="10"/>
  <c r="J7" i="10"/>
  <c r="M7" i="10" s="1"/>
  <c r="J5" i="10"/>
  <c r="M5" i="10" s="1"/>
  <c r="R5" i="10"/>
  <c r="R23" i="7"/>
  <c r="R22" i="7"/>
  <c r="M23" i="7"/>
  <c r="J23" i="7"/>
  <c r="J22" i="7"/>
  <c r="M22" i="7" s="1"/>
  <c r="R19" i="7"/>
  <c r="R18" i="7"/>
  <c r="R17" i="7"/>
  <c r="M20" i="7"/>
  <c r="J20" i="7"/>
  <c r="J19" i="7"/>
  <c r="M19" i="7" s="1"/>
  <c r="J18" i="7"/>
  <c r="M18" i="7" s="1"/>
  <c r="J17" i="7"/>
  <c r="M17" i="7" s="1"/>
  <c r="R15" i="7"/>
  <c r="R14" i="7"/>
  <c r="M12" i="7"/>
  <c r="J12" i="7"/>
  <c r="J11" i="7"/>
  <c r="M11" i="7" s="1"/>
  <c r="R13" i="7"/>
  <c r="J10" i="7"/>
  <c r="M10" i="7" s="1"/>
  <c r="R12" i="7"/>
  <c r="R11" i="7"/>
  <c r="R10" i="7"/>
  <c r="R9" i="7"/>
  <c r="R8" i="7"/>
  <c r="R7" i="7"/>
  <c r="M9" i="7"/>
  <c r="J9" i="7"/>
  <c r="J8" i="7"/>
  <c r="M8" i="7" s="1"/>
  <c r="J7" i="7"/>
  <c r="M7" i="7" s="1"/>
  <c r="J5" i="7"/>
  <c r="M5" i="7" s="1"/>
  <c r="R5" i="7"/>
  <c r="M24" i="5"/>
  <c r="J24" i="5"/>
  <c r="R22" i="5"/>
  <c r="R21" i="5"/>
  <c r="J22" i="5"/>
  <c r="M22" i="5" s="1"/>
  <c r="M21" i="5"/>
  <c r="J21" i="5"/>
  <c r="R18" i="5"/>
  <c r="R17" i="5"/>
  <c r="R16" i="5"/>
  <c r="J18" i="5"/>
  <c r="M18" i="5" s="1"/>
  <c r="M17" i="5"/>
  <c r="J17" i="5"/>
  <c r="J16" i="5"/>
  <c r="M16" i="5" s="1"/>
  <c r="R14" i="5"/>
  <c r="R13" i="5"/>
  <c r="R12" i="5"/>
  <c r="J9" i="5"/>
  <c r="M9" i="5" s="1"/>
  <c r="J8" i="5"/>
  <c r="M8" i="5" s="1"/>
  <c r="R11" i="5"/>
  <c r="R10" i="5"/>
  <c r="R9" i="5"/>
  <c r="R8" i="5"/>
  <c r="R7" i="5"/>
  <c r="J7" i="5"/>
  <c r="M7" i="5" s="1"/>
  <c r="R5" i="5"/>
  <c r="J28" i="4"/>
  <c r="M28" i="4" s="1"/>
  <c r="R26" i="4"/>
  <c r="R25" i="4"/>
  <c r="R24" i="4"/>
  <c r="J25" i="4"/>
  <c r="M25" i="4" s="1"/>
  <c r="J24" i="4"/>
  <c r="M24" i="4" s="1"/>
  <c r="R22" i="4"/>
  <c r="R21" i="4"/>
  <c r="R20" i="4"/>
  <c r="R19" i="4"/>
  <c r="R18" i="4"/>
  <c r="J20" i="4"/>
  <c r="M20" i="4" s="1"/>
  <c r="J19" i="4"/>
  <c r="M19" i="4" s="1"/>
  <c r="J18" i="4"/>
  <c r="M18" i="4" s="1"/>
  <c r="J11" i="4"/>
  <c r="M11" i="4" s="1"/>
  <c r="J10" i="4"/>
  <c r="M10" i="4" s="1"/>
  <c r="J9" i="4"/>
  <c r="M9" i="4" s="1"/>
  <c r="J8" i="4"/>
  <c r="M8" i="4" s="1"/>
  <c r="R15" i="4"/>
  <c r="R14" i="4"/>
  <c r="R13" i="4"/>
  <c r="R12" i="4"/>
  <c r="R11" i="4"/>
  <c r="J7" i="4"/>
  <c r="M7" i="4" s="1"/>
  <c r="R10" i="4"/>
  <c r="R9" i="4"/>
  <c r="R8" i="4"/>
  <c r="R7" i="4"/>
  <c r="R22" i="3"/>
  <c r="R21" i="3"/>
  <c r="R20" i="3"/>
  <c r="R19" i="3"/>
  <c r="J20" i="3"/>
  <c r="M20" i="3" s="1"/>
  <c r="R18" i="3"/>
  <c r="M19" i="3"/>
  <c r="J19" i="3"/>
  <c r="J18" i="3"/>
  <c r="M18" i="3" s="1"/>
  <c r="R16" i="3"/>
  <c r="R15" i="3"/>
  <c r="R14" i="3"/>
  <c r="R13" i="3"/>
  <c r="R12" i="3"/>
  <c r="M15" i="3"/>
  <c r="J15" i="3"/>
  <c r="J14" i="3"/>
  <c r="M14" i="3" s="1"/>
  <c r="J13" i="3"/>
  <c r="M13" i="3" s="1"/>
  <c r="M12" i="3"/>
  <c r="J12" i="3"/>
  <c r="J8" i="3"/>
  <c r="M8" i="3" s="1"/>
  <c r="R10" i="3"/>
  <c r="R9" i="3"/>
  <c r="R8" i="3"/>
  <c r="R7" i="3"/>
  <c r="J7" i="3"/>
  <c r="M7" i="3" s="1"/>
  <c r="R6" i="3"/>
  <c r="J6" i="3"/>
  <c r="M6" i="3" s="1"/>
  <c r="R5" i="3"/>
  <c r="J5" i="3"/>
  <c r="M5" i="3" s="1"/>
</calcChain>
</file>

<file path=xl/sharedStrings.xml><?xml version="1.0" encoding="utf-8"?>
<sst xmlns="http://schemas.openxmlformats.org/spreadsheetml/2006/main" count="2498" uniqueCount="432">
  <si>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</si>
  <si>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</si>
  <si>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</si>
  <si>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</si>
  <si>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</si>
  <si>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</si>
  <si>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</si>
  <si>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</si>
  <si>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</si>
  <si>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</si>
  <si>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</si>
  <si>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</si>
  <si>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</si>
  <si>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ご飯</t>
  </si>
  <si>
    <t>※加熱調理する際は中心部75℃で1分以上加熱したことを確認して下さい。</t>
  </si>
  <si>
    <t>玉ねぎ</t>
  </si>
  <si>
    <t>g</t>
  </si>
  <si>
    <t>じゃが芋</t>
  </si>
  <si>
    <t>油</t>
  </si>
  <si>
    <t>精製塩</t>
  </si>
  <si>
    <t>こしょう</t>
  </si>
  <si>
    <t>玉子</t>
  </si>
  <si>
    <t>卵</t>
  </si>
  <si>
    <t>ヶ</t>
  </si>
  <si>
    <t>ケチャップ</t>
  </si>
  <si>
    <t>トマト</t>
  </si>
  <si>
    <t>パセリ</t>
  </si>
  <si>
    <t>・</t>
  </si>
  <si>
    <t>Ｐ</t>
  </si>
  <si>
    <t>人参</t>
  </si>
  <si>
    <t>ごま油</t>
  </si>
  <si>
    <t>出し汁</t>
  </si>
  <si>
    <t>上白糖</t>
  </si>
  <si>
    <t>醤油</t>
  </si>
  <si>
    <t>小麦</t>
  </si>
  <si>
    <t>すまし汁</t>
  </si>
  <si>
    <t>大根</t>
  </si>
  <si>
    <t>万能ねぎ</t>
  </si>
  <si>
    <t>昼</t>
  </si>
  <si>
    <t>牛乳</t>
  </si>
  <si>
    <t>乳</t>
  </si>
  <si>
    <t>cc</t>
  </si>
  <si>
    <t>本</t>
  </si>
  <si>
    <t>小松菜</t>
  </si>
  <si>
    <t>小麦粉</t>
  </si>
  <si>
    <t>片栗粉</t>
  </si>
  <si>
    <t>水</t>
  </si>
  <si>
    <t>※加熱調理する際は中心部75℃で1分以上加熱したことを確認して下さい。_x000D_</t>
  </si>
  <si>
    <t>切</t>
  </si>
  <si>
    <t>酒</t>
  </si>
  <si>
    <t>水菜</t>
  </si>
  <si>
    <t>すり胡麻　白</t>
  </si>
  <si>
    <t>みりん風調味料</t>
  </si>
  <si>
    <t>キャベツ</t>
  </si>
  <si>
    <t>ウスターソース</t>
  </si>
  <si>
    <t>みそ汁</t>
  </si>
  <si>
    <t>さつま芋</t>
  </si>
  <si>
    <t>味噌</t>
  </si>
  <si>
    <t>フルーツ（オレンジ）</t>
  </si>
  <si>
    <t>※原料のまま流水できれいに洗って下さい。</t>
  </si>
  <si>
    <t>ネーブル</t>
  </si>
  <si>
    <t>2月28日(金)配達/3月2日(月)食</t>
    <phoneticPr fontId="3"/>
  </si>
  <si>
    <t>スパゲティナポリタン</t>
  </si>
  <si>
    <t>①麺は8～9分ゆでてバターをからめます。_x000D_</t>
  </si>
  <si>
    <t>②材料は食べやすい大きさに切って、肉は酒をふります。_x000D_</t>
  </si>
  <si>
    <t>スパゲッティ</t>
  </si>
  <si>
    <t>バター</t>
  </si>
  <si>
    <t>国産鶏もも小間(加熱用)</t>
  </si>
  <si>
    <t>冷凍グリンピースＰ</t>
  </si>
  <si>
    <t>お豆腐と玉子のサラダ</t>
  </si>
  <si>
    <t>②①を彩りよく盛り付けて、煮立て冷ました調味料をかけて下さい。_x000D_</t>
  </si>
  <si>
    <t>充てん豆腐</t>
  </si>
  <si>
    <t>丁</t>
  </si>
  <si>
    <t>きゅうり</t>
  </si>
  <si>
    <t>ツナフレーク缶</t>
  </si>
  <si>
    <t>酢</t>
  </si>
  <si>
    <t>みるくスープ</t>
  </si>
  <si>
    <t>①野菜は食べやすい大きさに切って、バターで炒めます。_x000D_</t>
  </si>
  <si>
    <t>②水・コンソメで材料を煮て、野菜がやわらかくなったら牛乳を加えて弱火で煮、塩で味を調えます。_x000D_</t>
  </si>
  <si>
    <t>③水溶き片栗粉でとろみをつけて下さい。_x000D_</t>
  </si>
  <si>
    <t>※水溶き片栗粉の分量はとろみをみて調節して下さい。_x000D_</t>
  </si>
  <si>
    <t>コンソメ</t>
  </si>
  <si>
    <t>乳・小麦</t>
  </si>
  <si>
    <t>かぼちゃ</t>
  </si>
  <si>
    <t>国産豚もも小間</t>
  </si>
  <si>
    <t>生姜</t>
  </si>
  <si>
    <t>カットワカメ</t>
  </si>
  <si>
    <t>白菜</t>
  </si>
  <si>
    <t>冷凍カーネルコーンＰ</t>
  </si>
  <si>
    <t>ごぼう</t>
  </si>
  <si>
    <t>花ふ</t>
  </si>
  <si>
    <t>3月2日(月)配達/3月3日(火)食</t>
    <phoneticPr fontId="3"/>
  </si>
  <si>
    <t>●おひなさまいなり寿司</t>
  </si>
  <si>
    <t>①酢・砂糖・塩を煮立たせ、炊き上がったご飯に混ぜます。_x000D_</t>
  </si>
  <si>
    <t>②油揚げは熱湯をかけて油抜きし、半分に切り水気をよく切ります。_x000D_</t>
  </si>
  <si>
    <t>④イチョウ切りにした人参・短冊切りしたきゅうりは茹で冷まし、うずら玉子は縦半分に切ります。_x000D_</t>
  </si>
  <si>
    <t>※画像を参考に盛り付けて下さい_x000D_</t>
  </si>
  <si>
    <t>油揚げ</t>
  </si>
  <si>
    <t>枚</t>
  </si>
  <si>
    <t>うずら玉子水煮</t>
  </si>
  <si>
    <t>いり胡麻　黒</t>
  </si>
  <si>
    <t>大根のそぼろあんかけ</t>
  </si>
  <si>
    <t>①野菜は食べやすい大きさに切ります。_x000D_</t>
  </si>
  <si>
    <t>②熱した油で肉を炒めて、①・だし汁・みりんを加えて煮て、火が通ったら正油を加えて更に煮ます。_x000D_</t>
  </si>
  <si>
    <t>③②に水溶き片栗粉を加えてとろみをつけ、刻んで茹でた万能ねぎを散らして下さい。_x000D_</t>
  </si>
  <si>
    <t>国産豚挽肉</t>
  </si>
  <si>
    <t>冷凍スライス生麩　梅</t>
  </si>
  <si>
    <t>菜の花</t>
  </si>
  <si>
    <t>フルーツ（りんご）</t>
  </si>
  <si>
    <t>りんご</t>
  </si>
  <si>
    <t>鉄分強化！ふりかけごはん</t>
  </si>
  <si>
    <t>鉄ふりかけ　大豆</t>
  </si>
  <si>
    <t>小麦※18</t>
    <phoneticPr fontId="16"/>
  </si>
  <si>
    <t>フルーツ（いよかん）</t>
  </si>
  <si>
    <t>いよかん</t>
  </si>
  <si>
    <t>3月3日(火)配達/3月4日(水)食</t>
    <phoneticPr fontId="3"/>
  </si>
  <si>
    <t>カラスカレイの洋風照り焼き</t>
  </si>
  <si>
    <t>①魚は水気をよくふき取り小麦粉をまぶします。_x000D_</t>
  </si>
  <si>
    <t>②①を両面焼き、正油・みりん・バターを加えて全体に絡めます。_x000D_</t>
  </si>
  <si>
    <t>③角切りにした人参・コーンは水・砂糖・バターで煮て添えて下さい。_x000D_</t>
  </si>
  <si>
    <t>骨抜きカラスカレイ３０</t>
  </si>
  <si>
    <t>厚揚げの煮物</t>
  </si>
  <si>
    <t>①熱湯をかけた厚揚げ・材料は食べやすい大きさに切ります。_x000D_</t>
  </si>
  <si>
    <t>②玉ねぎ・厚揚げを調味料で煮て、仕上げにザク切りした小松菜を加えて煮て下さい。_x000D_</t>
  </si>
  <si>
    <t>厚揚げ</t>
  </si>
  <si>
    <t>もやし</t>
  </si>
  <si>
    <t>フルーツ（バナナ）</t>
  </si>
  <si>
    <t>バナナ</t>
  </si>
  <si>
    <t>ブロッコリー</t>
  </si>
  <si>
    <t>ヨーグルト</t>
  </si>
  <si>
    <t>①砂糖・水を火にかけてシロップを作り冷まします。_x000D_</t>
  </si>
  <si>
    <t>②①とヨーグルトを合わせてください。_x000D_</t>
  </si>
  <si>
    <t>※甘さは砂糖で調節して下さい。_x000D_</t>
  </si>
  <si>
    <t>ﾌﾟﾚｰﾝﾖｰｸﾞﾙﾄ</t>
  </si>
  <si>
    <t>3月4日(水)配達/3月5日(木)食</t>
    <phoneticPr fontId="3"/>
  </si>
  <si>
    <t>照り焼きハンバーグ</t>
  </si>
  <si>
    <t>①みじん切りした玉ねぎは炒めて、塩・こしょうし冷まします。_x000D_</t>
  </si>
  <si>
    <t>②肉・①・豆乳にひたしたパン粉を粘りが出るまで練り混ぜて、人数分の小判型にまとめます。_x000D_</t>
  </si>
  <si>
    <t>③熱した油で、②を両面焼き中まで火を通します。_x000D_</t>
  </si>
  <si>
    <t>④肉汁の残ったフライパンに酒・砂糖・みりん・醤油を加えて煮立たせ、ハンバーグに絡めます。_x000D_</t>
  </si>
  <si>
    <t>⑤細切りにしたきゅうり・人参は茹でて添えて下さい。_x000D_</t>
  </si>
  <si>
    <t>パン粉</t>
  </si>
  <si>
    <t>有機豆乳無調整</t>
  </si>
  <si>
    <t>さつま芋の甘煮</t>
  </si>
  <si>
    <t>①芋は角切りにし水にさらします。_x000D_</t>
  </si>
  <si>
    <t>②材料をひたひたの水・砂糖で煮て下さい。_x000D_</t>
  </si>
  <si>
    <t>冷凍カット油揚げ</t>
  </si>
  <si>
    <t>骨抜き助宗タラ３０</t>
  </si>
  <si>
    <t>マヨネーズ</t>
  </si>
  <si>
    <t>卵・小麦</t>
  </si>
  <si>
    <t>3月5日(木)配達/3月6日(金)食</t>
    <phoneticPr fontId="3"/>
  </si>
  <si>
    <t>鉄分強化！ふりかけご飯</t>
  </si>
  <si>
    <t>鉄ふりかけ　穀物</t>
  </si>
  <si>
    <t>※18</t>
  </si>
  <si>
    <t>かぼちゃコロッケ</t>
  </si>
  <si>
    <t>①かぼちゃは電子レンジで加熱又は蒸すなどして粗くつぶして冷まします。_x000D_</t>
  </si>
  <si>
    <t>②玉ねぎはみじん切りにし、油で肉と炒め合わせて塩・こしょうして冷まします。_x000D_</t>
  </si>
  <si>
    <t>④食べやすい大きさに切ったブロッコリー・人参をバターで炒めて塩をふり、添えて下さい。_x000D_</t>
  </si>
  <si>
    <t>もやしとチンゲン菜のツナサラダ</t>
  </si>
  <si>
    <t>①食べやすい大きさに切った野菜・コーンは茹で冷まします。ツナは汁気を軽くきります。_x000D_</t>
  </si>
  <si>
    <t>②調味料を煮立て冷まし、①を加え和えて下さい。_x000D_</t>
  </si>
  <si>
    <t>チンゲン菜</t>
  </si>
  <si>
    <t>焼ふ</t>
  </si>
  <si>
    <t>_x000D_</t>
  </si>
  <si>
    <t>ほうれん草</t>
  </si>
  <si>
    <t>①豆腐は水きりし、食べやすい大きさに切ります。_x000D_</t>
  </si>
  <si>
    <t>いり胡麻　白</t>
  </si>
  <si>
    <t>（干）うどん</t>
  </si>
  <si>
    <t>小麦※14</t>
    <phoneticPr fontId="16"/>
  </si>
  <si>
    <t>3月6日(金)配達/3月9日(月)食</t>
    <phoneticPr fontId="3"/>
  </si>
  <si>
    <t>みそ焼肉</t>
  </si>
  <si>
    <t>①材料は食べやすい大きさに切って、肉は酒をふります。_x000D_</t>
  </si>
  <si>
    <t>②材料をごま油で炒め合わせ、調味料で調味して下さい。_x000D_</t>
  </si>
  <si>
    <t>冷凍キヌサヤＰ</t>
  </si>
  <si>
    <t>白菜とわかめの酢の物</t>
  </si>
  <si>
    <t>①野菜は食べやすい大きさに切り茹で冷まし、ワカメは茹で冷まします。_x000D_</t>
  </si>
  <si>
    <t>②調味料を煮立て冷まし、①を和えて下さい。_x000D_</t>
  </si>
  <si>
    <t>3月9日(月)配達/3月10日(火)食</t>
    <phoneticPr fontId="3"/>
  </si>
  <si>
    <t>助宗タラの菜種焼き</t>
  </si>
  <si>
    <t>①魚は水けをよくふきとり小麦粉をまぶして、油を塗った天板に並べ、180～200度で15分程度焼きます。_x000D_</t>
  </si>
  <si>
    <t>②ほうれん草は茹でて粗くみじん切り、玉子は茹で冷ましつぶして、マヨネーズ・塩・コショウを混ぜます。_x000D_</t>
  </si>
  <si>
    <t>③①の魚に②をのせて、更に焼き火を通します。_x000D_</t>
  </si>
  <si>
    <t>④茹でて食べやすい大きさに切ったトマトを添えてください。_x000D_</t>
  </si>
  <si>
    <t>豆腐の旨煮</t>
  </si>
  <si>
    <t>②野菜は食べやすい大きさに切ってごま油で炒め、豆腐・調味料を加えて煮て下さい。_x000D_</t>
  </si>
  <si>
    <t>国産鶏もも切身４０(加熱用)</t>
  </si>
  <si>
    <t>3月10日(火)配達/3月11日(水)食</t>
    <phoneticPr fontId="3"/>
  </si>
  <si>
    <t>カレーうどん</t>
  </si>
  <si>
    <t>①玉ねぎは薄切りにし、人参はイチョウ切りにします。_x000D_</t>
  </si>
  <si>
    <t>③めんは12分程茹でて洗い、器に盛り付け、②をかけます。_x000D_</t>
  </si>
  <si>
    <t>④茹でたグリンピースを散らして下さい。_x000D_</t>
  </si>
  <si>
    <t>とろけるカレー　甘口</t>
  </si>
  <si>
    <t>もやしのごまマヨ和え</t>
  </si>
  <si>
    <t>①食べやすい大きさに切った野菜・コーンは茹で冷まします。_x000D_</t>
  </si>
  <si>
    <t>②調味料は煮立て冷まし、①・ごまを和えて下さい。_x000D_</t>
  </si>
  <si>
    <t>3月11日(水)配達/3月12日(木)食</t>
    <phoneticPr fontId="3"/>
  </si>
  <si>
    <t>ふわふわ玉子の甘酢あん</t>
  </si>
  <si>
    <t>①玉ねぎはみじん切りします。_x000D_</t>
  </si>
  <si>
    <t>②溶きほぐした玉子と塩・コショウを混ぜ合わせます。_x000D_</t>
  </si>
  <si>
    <t>③肉・①を炒め合わせ、②を入れてふんわりとした炒り玉子を作ります。_x000D_</t>
  </si>
  <si>
    <t>※水溶き片栗粉はとろみを見て調整して下さい。_x000D_</t>
  </si>
  <si>
    <t>大根のナムル</t>
  </si>
  <si>
    <t>①野菜は食べやすい大きさに切りって茹で冷まします。_x000D_</t>
  </si>
  <si>
    <t>3月12日(木)配達/3月13日(金)食</t>
    <phoneticPr fontId="3"/>
  </si>
  <si>
    <t>●ホワイトデー☆クリームライス</t>
  </si>
  <si>
    <t>①洗った米にバター・コンソメ・水（通常の炊飯水量）を加えて軽く混ぜ、上にみじん切りにした人参を入れて炊飯します。_x000D_</t>
  </si>
  <si>
    <t>④ハート型にした①・③を盛り付け、茹でて刻んだパセリを散らして下さい。_x000D_</t>
  </si>
  <si>
    <t>※写真を参考に盛り付けて下さい。_x000D_</t>
  </si>
  <si>
    <t>しめじ</t>
  </si>
  <si>
    <t>ハウス　クリームシチューミクス</t>
  </si>
  <si>
    <t>じゃが芋とブロッコリーの玉子サラダ</t>
  </si>
  <si>
    <t>①食べやすい大きさに切った野菜は茹で冷まします。玉子は茹で冷ましてみじん切りします。_x000D_</t>
  </si>
  <si>
    <t>②調味料を煮立て冷まして、①と和えて下さい。_x000D_</t>
  </si>
  <si>
    <t>パプリカ赤</t>
  </si>
  <si>
    <t>3月13日(金)配達/3月16日(月)食</t>
    <phoneticPr fontId="3"/>
  </si>
  <si>
    <t>鶏もも肉のごま唐揚げ</t>
  </si>
  <si>
    <t>②片栗粉・小麦粉を混ぜ合わせて、肉にまぶして揚げます。_x000D_</t>
  </si>
  <si>
    <t>③茹でて食べやすい大きさに切ったトマト・食べやすい大きさに切って茹でたきゅうりを添えて下さい。_x000D_</t>
  </si>
  <si>
    <t>※にんにくの量は施設で調節してください。_x000D_</t>
  </si>
  <si>
    <t>にんにく</t>
  </si>
  <si>
    <t>大根の炒め煮</t>
  </si>
  <si>
    <t>3月17日(火)配達/3月18日(水)食</t>
    <phoneticPr fontId="3"/>
  </si>
  <si>
    <t>3月17日(火)配達/3月19日(木)食</t>
    <phoneticPr fontId="3"/>
  </si>
  <si>
    <t>3月19日(木)配達/3月23日(月)食</t>
    <phoneticPr fontId="3"/>
  </si>
  <si>
    <t>冷凍千切り人参Ｐ</t>
  </si>
  <si>
    <t>冷凍白菜カットＰ</t>
  </si>
  <si>
    <t>冷凍ささがきごぼうＰ</t>
  </si>
  <si>
    <t>3月23日(月)配達/3月24日(火)食</t>
    <phoneticPr fontId="3"/>
  </si>
  <si>
    <t>3月24日(火)配達/3月25日(水)食</t>
    <phoneticPr fontId="3"/>
  </si>
  <si>
    <t>3月25日(水)配達/3月26日(木)食</t>
    <phoneticPr fontId="3"/>
  </si>
  <si>
    <t>3月26日(木)配達/3月27日(金)食</t>
    <phoneticPr fontId="3"/>
  </si>
  <si>
    <t>春野菜のクリームシチュー</t>
  </si>
  <si>
    <t>①アスパラは硬い部分を取り除き、食べやすい大きさに切ります。その他の材料は食べやすい大きさに切ります。_x000D_</t>
  </si>
  <si>
    <t>②肉・玉ねぎ・人参を炒め、水を加えて煮ます。_x000D_</t>
  </si>
  <si>
    <t>グリーンアスパラ</t>
  </si>
  <si>
    <t>3月27日(金)配達/3月30日(月)食</t>
    <phoneticPr fontId="3"/>
  </si>
  <si>
    <t>3月30日(月)配達/3月31日(火)食</t>
    <phoneticPr fontId="3"/>
  </si>
  <si>
    <t>③②を油で炒め合わせ、めんを加えてケチャップ・ウスターソース・砂糖で調味し、</t>
    <phoneticPr fontId="16"/>
  </si>
  <si>
    <t>①豆腐はサイコロ状に切り茹で冷まし、輪切りにしたきゅうりは茹で冷まします。</t>
    <phoneticPr fontId="16"/>
  </si>
  <si>
    <t>玉子は茹でて食べやすい大きさに切ります。ツナは汁気をきります。</t>
  </si>
  <si>
    <t>いなり寿司の真ん中に切れ込みを入れます（一人2ヶ作ります）。</t>
  </si>
  <si>
    <t>人参を扇に見立てて盛り付け、それぞれお内裏様とお雛様を作って下さい。</t>
  </si>
  <si>
    <t>③①・②を混ぜ合わせて小判型にまとめ、小麦粉・水溶き小麦粉・パン粉の順にまぶして、</t>
    <phoneticPr fontId="16"/>
  </si>
  <si>
    <t>160～170℃の油で揚げます。</t>
  </si>
  <si>
    <t>②熱した油で肉・①の順に炒めて、だし汁・砂糖・みりん・正油・カレールーを加え煮ます</t>
    <phoneticPr fontId="16"/>
  </si>
  <si>
    <t>（とろみは水溶き片栗粉で調節して下さい）。</t>
  </si>
  <si>
    <t>③玉ねぎ・肉・しめじの順に炒め合わせて、水を加えて煮ます。玉ねぎがやわらかくなったらいったん</t>
  </si>
  <si>
    <t>火を止めてルーを溶かし、再び火にかけてコトコト煮込みます。最後に牛乳を加えて煮ます。</t>
  </si>
  <si>
    <t>②玉ねぎは小さめの角切りにし、しめじは石突を取ってほぐし、食べやすい大きさに切ります。</t>
    <phoneticPr fontId="16"/>
  </si>
  <si>
    <t>肉は食べやすい大きさに切ります。</t>
  </si>
  <si>
    <t>①肉は食べやすい大きさに切って、すりおろしたにんにく・生姜汁・調味料・ごまをもみこみ</t>
    <phoneticPr fontId="16"/>
  </si>
  <si>
    <t>10分以上漬け込みます。</t>
  </si>
  <si>
    <t>④調味料を煮立てて、水溶き片栗粉でとろみをつけて③の玉子にかけ、</t>
    <phoneticPr fontId="16"/>
  </si>
  <si>
    <t>刻んで茹でた万能ねぎを散らして下さい。</t>
  </si>
  <si>
    <t>③野菜が柔らかくなったらいったん火を止めてルーを溶かし、キャベツ・アスパラを加えて再び火にかけて</t>
    <phoneticPr fontId="16"/>
  </si>
  <si>
    <t>コトコト煮込みます。最後に牛乳を加えて煮、茹でたパセリを刻み、散らして下さい。</t>
    <phoneticPr fontId="16"/>
  </si>
  <si>
    <t>①豆腐はサイコロ状に切り茹で冷まし、輪切りにしたきゅうりは茹で冷まします。玉子は茹でて食べやすい</t>
    <phoneticPr fontId="16"/>
  </si>
  <si>
    <t>大きさに切ります。ツナは汁気をきります。</t>
  </si>
  <si>
    <t>上にうずら玉子をのせて顔にし、ごまをつけて目にします。きゅうりを笏（しゃく）に、</t>
  </si>
  <si>
    <t>⑤③の味付けいなりに、①のごはんをつめて、袋の閉じた部分を上にむけ三角にし、</t>
  </si>
  <si>
    <t>③②をだし汁・砂糖・酒・正油・みりんで煮含めて、汁気がなくなってきたら強火で</t>
    <phoneticPr fontId="16"/>
  </si>
  <si>
    <t>汁気をとばしてそのまま冷まします。</t>
  </si>
  <si>
    <t xml:space="preserve">④調味料を煮立てて、水溶き片栗粉でとろみをつけて③の玉子にかけ、
</t>
    <phoneticPr fontId="16"/>
  </si>
  <si>
    <t>＜盛り付けイメージ＞</t>
    <rPh sb="1" eb="2">
      <t>モ</t>
    </rPh>
    <rPh sb="3" eb="4">
      <t>ツ</t>
    </rPh>
    <phoneticPr fontId="16"/>
  </si>
  <si>
    <t>☆イベントメニュー☆</t>
    <phoneticPr fontId="16"/>
  </si>
  <si>
    <t>茹でたグリンピースを散らして下さい。</t>
  </si>
  <si>
    <t>茹でたグリンピースを散らして下さい。</t>
    <phoneticPr fontId="16"/>
  </si>
  <si>
    <t xml:space="preserve">※水溶き片栗粉はとろみを見て調整して下さい。
</t>
    <phoneticPr fontId="16"/>
  </si>
  <si>
    <t>※水溶き片栗粉はとろみを見て調整して下さい。</t>
  </si>
  <si>
    <t xml:space="preserve">①材料は食べやすい大きさに切って炒め合わせ、調味料を加えて汁気がなくなるぐらいまで炒め煮して下さい。
</t>
    <rPh sb="1" eb="3">
      <t>ザイリョウ</t>
    </rPh>
    <phoneticPr fontId="16"/>
  </si>
  <si>
    <t xml:space="preserve">※水溶き片栗粉の分量はとろみをみて調節して下さい。
</t>
    <phoneticPr fontId="16"/>
  </si>
  <si>
    <t>特定アレルゲン表示　　　　　　　　　　　　　　　　　　　　　　　　　　　　　　　　　　　　　　　　　　　　　　　　　　　　　　　　　　　　　　　　　　　　　　　　　　　　　　　　　　　　　　　　　　　　　　　　　　　　　　　　　　　　　　　　　　　　　　　　　　　　　　　　　　　　　　　　　　　　　　　　　　　　　　　　　　　　</t>
    <rPh sb="0" eb="2">
      <t>トクテイ</t>
    </rPh>
    <rPh sb="7" eb="9">
      <t>ヒョウジ</t>
    </rPh>
    <phoneticPr fontId="3"/>
  </si>
  <si>
    <t>特定アレルゲン表示　　　　　　　　　　　　　　　　　　　　　　　　　　　　　　　　　　　　　　　　　　　　　　　　　　　　　　　　　　　　　　　　　　　　　　　　　　　　　　　　　　　　　　　　　　　　　　　　　　　　　　　　　　　　　　　　　　　　　　　　　　　　　　　　　　　　　　　　　　　　　　　　　　　　　　　　　　　　　　　</t>
    <rPh sb="0" eb="2">
      <t>トクテイ</t>
    </rPh>
    <rPh sb="7" eb="9">
      <t>ヒョウジ</t>
    </rPh>
    <phoneticPr fontId="3"/>
  </si>
  <si>
    <t>昼食</t>
    <rPh sb="0" eb="2">
      <t>チュウショク</t>
    </rPh>
    <phoneticPr fontId="3"/>
  </si>
  <si>
    <t>３色食品群</t>
    <rPh sb="1" eb="2">
      <t>ショク</t>
    </rPh>
    <rPh sb="2" eb="5">
      <t>ショクヒングン</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</si>
  <si>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</si>
  <si>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</si>
  <si>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</si>
  <si>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</si>
  <si>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</si>
  <si>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</si>
  <si>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月</t>
  </si>
  <si>
    <t>ツナフレーク缶・牛乳・玉子・鶏肉・豆腐</t>
  </si>
  <si>
    <t>キャベツ・きゅうり・グリンピース・玉ねぎ・人参</t>
  </si>
  <si>
    <t>kcal</t>
  </si>
  <si>
    <t>乳・卵・小麦</t>
  </si>
  <si>
    <t>kcal</t>
    <phoneticPr fontId="3"/>
  </si>
  <si>
    <t>ｇ</t>
    <phoneticPr fontId="3"/>
  </si>
  <si>
    <t>g</t>
    <phoneticPr fontId="3"/>
  </si>
  <si>
    <t>3
火</t>
    <rPh sb="2" eb="3">
      <t>カ</t>
    </rPh>
    <phoneticPr fontId="3"/>
  </si>
  <si>
    <t>イベント献立</t>
    <rPh sb="4" eb="6">
      <t>コンダテ</t>
    </rPh>
    <phoneticPr fontId="3"/>
  </si>
  <si>
    <t>火</t>
  </si>
  <si>
    <t>ごま・ご飯・砂糖・小麦粉・片栗粉・油</t>
  </si>
  <si>
    <t>ご飯・バター・砂糖・小麦粉・油</t>
  </si>
  <si>
    <t>木</t>
  </si>
  <si>
    <t>きゅうり・玉ねぎ・人参・白菜</t>
  </si>
  <si>
    <t>金</t>
  </si>
  <si>
    <t>かぼちゃ・コーン・チンゲン菜・ブロッコリー・もやし・玉ねぎ・人参・万能ねぎ</t>
  </si>
  <si>
    <t>乳・卵・小麦_x000D_
※18</t>
    <phoneticPr fontId="3"/>
  </si>
  <si>
    <t>キヌサヤ・ごぼう・ワカメ・玉ねぎ・人参・白菜</t>
  </si>
  <si>
    <t>小麦_x000D_
※18</t>
    <phoneticPr fontId="3"/>
  </si>
  <si>
    <t>いよかん・キャベツ・トマト・ほうれん草・人参・大根</t>
  </si>
  <si>
    <t>きゅうり・グリンピース・コーン・もやし・玉ねぎ・人参</t>
  </si>
  <si>
    <t>乳・卵・小麦_x000D_
※14</t>
    <phoneticPr fontId="3"/>
  </si>
  <si>
    <t>ごぼう・りんご・玉ねぎ・人参・水菜・大根・万能ねぎ</t>
  </si>
  <si>
    <t>牛乳・玉子・鶏肉</t>
  </si>
  <si>
    <t>オレンジ・キャベツ・グリーンアスパラ・パセリ・パプリカ赤・ブロッコリー・玉ねぎ・人参</t>
  </si>
  <si>
    <t>13
金</t>
    <rPh sb="3" eb="4">
      <t>キン</t>
    </rPh>
    <phoneticPr fontId="3"/>
  </si>
  <si>
    <t>ホワイトデー☆クリームライス</t>
    <phoneticPr fontId="3"/>
  </si>
  <si>
    <t>オレンジ・しめじ・パセリ・パプリカ赤・ブロッコリー・玉ねぎ・人参</t>
  </si>
  <si>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</si>
  <si>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</si>
  <si>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</si>
  <si>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</si>
  <si>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</si>
  <si>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</si>
  <si>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</si>
  <si>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</si>
  <si>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</si>
  <si>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</si>
  <si>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</si>
  <si>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390/16.1/10.8/57.0/1.2未満</t>
    <rPh sb="22" eb="24">
      <t>ミマン</t>
    </rPh>
    <phoneticPr fontId="3"/>
  </si>
  <si>
    <t>285/11.8/7.9/41.7/0.9未満</t>
    <rPh sb="21" eb="23">
      <t>ミマン</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</si>
  <si>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</si>
  <si>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</si>
  <si>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※都合により、献立を変更する場合がございます。</t>
    <rPh sb="1" eb="3">
      <t>ツゴウ</t>
    </rPh>
    <rPh sb="7" eb="9">
      <t>コンダテ</t>
    </rPh>
    <rPh sb="10" eb="12">
      <t>ヘンコウ</t>
    </rPh>
    <rPh sb="14" eb="16">
      <t>バアイ</t>
    </rPh>
    <phoneticPr fontId="3"/>
  </si>
  <si>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</si>
  <si>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</si>
  <si>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※60　本工場では小麦・乳を使用しております。</t>
  </si>
  <si>
    <t>キッズ</t>
    <phoneticPr fontId="3"/>
  </si>
  <si>
    <t>エネルギー
たんぱく質
脂質
炭水化物
塩分</t>
    <phoneticPr fontId="3"/>
  </si>
  <si>
    <t>おやつ</t>
    <phoneticPr fontId="3"/>
  </si>
  <si>
    <t>スパゲッティ・バター・砂糖・片栗粉・油・ご飯</t>
    <rPh sb="21" eb="22">
      <t>ハン</t>
    </rPh>
    <phoneticPr fontId="32"/>
  </si>
  <si>
    <t>ツナフレーク缶・牛乳・玉子・鶏肉・豆腐・干しエビ</t>
    <rPh sb="20" eb="21">
      <t>ホ</t>
    </rPh>
    <phoneticPr fontId="32"/>
  </si>
  <si>
    <t>キャベツ・きゅうり・グリンピース・玉ねぎ・人参・コーン・パセリ</t>
    <phoneticPr fontId="32"/>
  </si>
  <si>
    <t>スパゲッティ・バター・砂糖・片栗粉・油・ホットケーキミックス・ごま</t>
    <phoneticPr fontId="32"/>
  </si>
  <si>
    <t>kcal</t>
    <phoneticPr fontId="3"/>
  </si>
  <si>
    <t>kcal</t>
    <phoneticPr fontId="3"/>
  </si>
  <si>
    <t>ｇ</t>
    <phoneticPr fontId="3"/>
  </si>
  <si>
    <t>桜海老のチャーハン</t>
    <rPh sb="0" eb="3">
      <t>サクラエビ</t>
    </rPh>
    <phoneticPr fontId="32"/>
  </si>
  <si>
    <t>胡麻入りドーナツ</t>
    <rPh sb="0" eb="2">
      <t>ゴマ</t>
    </rPh>
    <rPh sb="2" eb="3">
      <t>イ</t>
    </rPh>
    <phoneticPr fontId="32"/>
  </si>
  <si>
    <t>ｇ</t>
    <phoneticPr fontId="3"/>
  </si>
  <si>
    <t>g</t>
    <phoneticPr fontId="3"/>
  </si>
  <si>
    <t>おひなさまいなり寿司</t>
    <phoneticPr fontId="3"/>
  </si>
  <si>
    <t>ごま・ご飯・砂糖・生麩・片栗粉・油・ホットケーキミックス・ひなあられ</t>
    <phoneticPr fontId="32"/>
  </si>
  <si>
    <t>うずらの玉子・豚肉・油揚げ･豆乳・牛乳</t>
    <rPh sb="14" eb="16">
      <t>トウニュウ</t>
    </rPh>
    <phoneticPr fontId="32"/>
  </si>
  <si>
    <t>きゅうり・りんご・菜の花・人参・大根・万能ねぎ・白桃缶</t>
    <rPh sb="24" eb="26">
      <t>ハクトウ</t>
    </rPh>
    <rPh sb="26" eb="27">
      <t>カン</t>
    </rPh>
    <phoneticPr fontId="32"/>
  </si>
  <si>
    <t>kcal</t>
    <phoneticPr fontId="3"/>
  </si>
  <si>
    <t>ｇ</t>
    <phoneticPr fontId="3"/>
  </si>
  <si>
    <t>桃のカップケーキ</t>
    <rPh sb="0" eb="1">
      <t>モモ</t>
    </rPh>
    <phoneticPr fontId="32"/>
  </si>
  <si>
    <t>手作りおはぎ風</t>
    <rPh sb="0" eb="2">
      <t>テヅク</t>
    </rPh>
    <rPh sb="6" eb="7">
      <t>フウ</t>
    </rPh>
    <phoneticPr fontId="32"/>
  </si>
  <si>
    <t>ひなあられ</t>
    <phoneticPr fontId="32"/>
  </si>
  <si>
    <t>&lt;ひなまつり&gt;</t>
    <phoneticPr fontId="32"/>
  </si>
  <si>
    <t>&lt;彼岸入り&gt;</t>
    <rPh sb="1" eb="3">
      <t>ヒガン</t>
    </rPh>
    <rPh sb="3" eb="4">
      <t>イ</t>
    </rPh>
    <phoneticPr fontId="32"/>
  </si>
  <si>
    <t>カラスカレイ・厚揚げ・鶏肉・牛乳</t>
    <rPh sb="11" eb="13">
      <t>トリニク</t>
    </rPh>
    <rPh sb="14" eb="16">
      <t>ギュウニュウ</t>
    </rPh>
    <phoneticPr fontId="32"/>
  </si>
  <si>
    <t>コーン・バナナ・もやし・玉ねぎ・小松菜・人参・水菜・エリンギ・青のり</t>
    <rPh sb="31" eb="32">
      <t>アオ</t>
    </rPh>
    <phoneticPr fontId="32"/>
  </si>
  <si>
    <t>鶏飯</t>
    <rPh sb="0" eb="1">
      <t>ケイ</t>
    </rPh>
    <rPh sb="1" eb="2">
      <t>ハン</t>
    </rPh>
    <phoneticPr fontId="32"/>
  </si>
  <si>
    <t>ご飯・さつま芋・パン粉・砂糖・油・ホットケーキミックス</t>
    <phoneticPr fontId="32"/>
  </si>
  <si>
    <t>玉子・豆乳・豚肉・牛乳</t>
    <rPh sb="9" eb="11">
      <t>ギュウニュウ</t>
    </rPh>
    <phoneticPr fontId="32"/>
  </si>
  <si>
    <t>きゅうり・玉ねぎ・人参・白菜・レーズン</t>
    <phoneticPr fontId="32"/>
  </si>
  <si>
    <t>ご飯・さつま芋・パン粉・砂糖・油・ビスケット・せんべい</t>
    <phoneticPr fontId="32"/>
  </si>
  <si>
    <t>kcal</t>
    <phoneticPr fontId="3"/>
  </si>
  <si>
    <t>ｇ</t>
    <phoneticPr fontId="3"/>
  </si>
  <si>
    <t>レーズン蒸しパン</t>
    <rPh sb="4" eb="5">
      <t>ム</t>
    </rPh>
    <phoneticPr fontId="32"/>
  </si>
  <si>
    <t>ビスケット</t>
    <phoneticPr fontId="32"/>
  </si>
  <si>
    <t>せんべい</t>
    <phoneticPr fontId="32"/>
  </si>
  <si>
    <t>ご飯・バター・パン粉・マヨネーズ・砂糖・小麦粉・焼ふ・油・鈴カステラ・クラッカー</t>
    <rPh sb="29" eb="30">
      <t>スズ</t>
    </rPh>
    <phoneticPr fontId="32"/>
  </si>
  <si>
    <t>ツナフレーク缶・豚肉・牛乳</t>
    <rPh sb="11" eb="13">
      <t>ギュウニュウ</t>
    </rPh>
    <phoneticPr fontId="32"/>
  </si>
  <si>
    <t>乳・卵・小麦_x000D_
※18</t>
    <phoneticPr fontId="3"/>
  </si>
  <si>
    <t>鈴カステラ</t>
    <rPh sb="0" eb="1">
      <t>スズ</t>
    </rPh>
    <phoneticPr fontId="32"/>
  </si>
  <si>
    <t>クラッカー</t>
    <phoneticPr fontId="32"/>
  </si>
  <si>
    <t>ごま油・ご飯・砂糖・ホットケーキミックス</t>
    <phoneticPr fontId="32"/>
  </si>
  <si>
    <t>豚肉・油揚げ・豆乳・牛乳</t>
    <rPh sb="7" eb="9">
      <t>トウニュウ</t>
    </rPh>
    <rPh sb="10" eb="12">
      <t>ギュウニュウ</t>
    </rPh>
    <phoneticPr fontId="32"/>
  </si>
  <si>
    <t>キヌサヤ・ごぼう・ワカメ・玉ねぎ・人参・白菜・レーズン</t>
    <phoneticPr fontId="32"/>
  </si>
  <si>
    <t>小麦_x000D_
※18</t>
    <phoneticPr fontId="3"/>
  </si>
  <si>
    <t>ｇ</t>
    <phoneticPr fontId="3"/>
  </si>
  <si>
    <t>ごま油・ご飯・砂糖・パイ・せんべい</t>
    <phoneticPr fontId="32"/>
  </si>
  <si>
    <t>豚肉・油揚げ・牛乳</t>
    <rPh sb="7" eb="9">
      <t>ギュウニュウ</t>
    </rPh>
    <phoneticPr fontId="32"/>
  </si>
  <si>
    <t>kcal</t>
    <phoneticPr fontId="3"/>
  </si>
  <si>
    <t>小麦_x000D_
※18</t>
    <phoneticPr fontId="3"/>
  </si>
  <si>
    <t>ごま油・ご飯・マヨネーズ・花ふ・小麦粉・油・マカロニ</t>
    <phoneticPr fontId="32"/>
  </si>
  <si>
    <t>スケソウタラ・玉子・豆腐・豚肉・きな粉･牛乳</t>
    <rPh sb="13" eb="15">
      <t>ブタニク</t>
    </rPh>
    <rPh sb="18" eb="19">
      <t>コ</t>
    </rPh>
    <rPh sb="20" eb="22">
      <t>ギュウニュウ</t>
    </rPh>
    <phoneticPr fontId="32"/>
  </si>
  <si>
    <t>いよかん・キャベツ・トマト・ほうれん草・人参・大根</t>
    <phoneticPr fontId="32"/>
  </si>
  <si>
    <t>kcal</t>
    <phoneticPr fontId="3"/>
  </si>
  <si>
    <t>パイ</t>
    <phoneticPr fontId="32"/>
  </si>
  <si>
    <t>マカロニきなこ</t>
    <phoneticPr fontId="32"/>
  </si>
  <si>
    <t>せんべい</t>
    <phoneticPr fontId="32"/>
  </si>
  <si>
    <t>ごま油・ご飯・マヨネーズ・花ふ・小麦粉・油・マカロニ</t>
    <phoneticPr fontId="32"/>
  </si>
  <si>
    <t>スケソウタラ・玉子・豆腐・きな粉･牛乳</t>
    <rPh sb="15" eb="16">
      <t>コ</t>
    </rPh>
    <rPh sb="17" eb="19">
      <t>ギュウニュウ</t>
    </rPh>
    <phoneticPr fontId="32"/>
  </si>
  <si>
    <t>kcal</t>
    <phoneticPr fontId="3"/>
  </si>
  <si>
    <t>うどん・ごま・マヨネーズ・砂糖・片栗粉・油・ホットケーキミックス</t>
    <phoneticPr fontId="32"/>
  </si>
  <si>
    <t>ヨーグルト・鶏肉・豆乳・牛乳</t>
    <rPh sb="9" eb="11">
      <t>トウニュウ</t>
    </rPh>
    <rPh sb="12" eb="14">
      <t>ギュウニュウ</t>
    </rPh>
    <phoneticPr fontId="32"/>
  </si>
  <si>
    <t>きゅうり・グリンピース・コーン・もやし・玉ねぎ・人参・パイン缶</t>
    <rPh sb="30" eb="31">
      <t>カン</t>
    </rPh>
    <phoneticPr fontId="32"/>
  </si>
  <si>
    <t>乳・卵・小麦_x000D_
※14</t>
    <phoneticPr fontId="3"/>
  </si>
  <si>
    <t>ｇ</t>
    <phoneticPr fontId="3"/>
  </si>
  <si>
    <t>マカロニきなこ</t>
    <phoneticPr fontId="32"/>
  </si>
  <si>
    <t>フルーツ入りカップケーキ</t>
    <rPh sb="4" eb="5">
      <t>イ</t>
    </rPh>
    <phoneticPr fontId="32"/>
  </si>
  <si>
    <t>うどん・ごま・マヨネーズ・砂糖・片栗粉・油･ご飯</t>
    <rPh sb="23" eb="24">
      <t>ハン</t>
    </rPh>
    <phoneticPr fontId="32"/>
  </si>
  <si>
    <t>ヨーグルト・鶏肉・豚肉・牛乳</t>
    <rPh sb="9" eb="11">
      <t>ブタニク</t>
    </rPh>
    <rPh sb="12" eb="14">
      <t>ギュウニュウ</t>
    </rPh>
    <phoneticPr fontId="32"/>
  </si>
  <si>
    <t>kcal</t>
    <phoneticPr fontId="3"/>
  </si>
  <si>
    <t>乳・卵・小麦_x000D_
※14</t>
    <phoneticPr fontId="3"/>
  </si>
  <si>
    <t>ごま油・ご飯・砂糖・片栗粉・油・食パン・イチゴジャム</t>
    <rPh sb="16" eb="17">
      <t>ショク</t>
    </rPh>
    <phoneticPr fontId="32"/>
  </si>
  <si>
    <t>玉子・豚肉・油揚げ・牛乳</t>
    <rPh sb="10" eb="12">
      <t>ギュウニュウ</t>
    </rPh>
    <phoneticPr fontId="32"/>
  </si>
  <si>
    <t>kcal</t>
    <phoneticPr fontId="3"/>
  </si>
  <si>
    <t>ｇ</t>
    <phoneticPr fontId="3"/>
  </si>
  <si>
    <t>肉味噌おにぎり</t>
    <rPh sb="0" eb="1">
      <t>ニク</t>
    </rPh>
    <rPh sb="1" eb="3">
      <t>ミソ</t>
    </rPh>
    <phoneticPr fontId="32"/>
  </si>
  <si>
    <t>ジャムサンド</t>
    <phoneticPr fontId="32"/>
  </si>
  <si>
    <t>ご飯・じゃが芋・砂糖・油・ウエハース・クラッカー</t>
    <phoneticPr fontId="32"/>
  </si>
  <si>
    <t>ジャムサンド</t>
    <phoneticPr fontId="32"/>
  </si>
  <si>
    <t>ウエハース</t>
    <phoneticPr fontId="32"/>
  </si>
  <si>
    <t>ご飯・じゃが芋・バター・砂糖・油・バームクーヘン・せんべい</t>
    <phoneticPr fontId="32"/>
  </si>
  <si>
    <t>バームクーヘン</t>
    <phoneticPr fontId="32"/>
  </si>
  <si>
    <t>せんべい</t>
    <phoneticPr fontId="32"/>
  </si>
  <si>
    <t>スパゲッティ・バター・砂糖・片栗粉・油・ホットケーキミックス・ごま</t>
    <phoneticPr fontId="32"/>
  </si>
  <si>
    <t>kcal</t>
    <phoneticPr fontId="3"/>
  </si>
  <si>
    <t>ｇ</t>
    <phoneticPr fontId="3"/>
  </si>
  <si>
    <t>玉子・鶏肉・油揚げ・豚肉・牛乳</t>
    <rPh sb="10" eb="12">
      <t>ブタニク</t>
    </rPh>
    <rPh sb="13" eb="15">
      <t>ギュウニュウ</t>
    </rPh>
    <phoneticPr fontId="32"/>
  </si>
  <si>
    <t>きゅうり・トマト・にんにく・人参・生姜・大根・万能ねぎ・玉ねぎ</t>
    <rPh sb="28" eb="29">
      <t>タマ</t>
    </rPh>
    <phoneticPr fontId="32"/>
  </si>
  <si>
    <t>ｇ</t>
    <phoneticPr fontId="3"/>
  </si>
  <si>
    <t>1～2</t>
    <phoneticPr fontId="3"/>
  </si>
  <si>
    <t>ｇ</t>
    <phoneticPr fontId="3"/>
  </si>
  <si>
    <t>ゆかりおにぎり、鶏の唐揚げ</t>
    <phoneticPr fontId="21"/>
  </si>
  <si>
    <t>ブロッコリー、ボイルウインナー</t>
    <phoneticPr fontId="21"/>
  </si>
  <si>
    <t>ポテト、みかん缶</t>
    <rPh sb="7" eb="8">
      <t>カン</t>
    </rPh>
    <phoneticPr fontId="21"/>
  </si>
  <si>
    <t>キッズ</t>
    <phoneticPr fontId="3"/>
  </si>
  <si>
    <t>【お別れ遠足用献立（小西先生オリジナル）】</t>
    <rPh sb="2" eb="3">
      <t>ワカ</t>
    </rPh>
    <rPh sb="4" eb="6">
      <t>エンソク</t>
    </rPh>
    <rPh sb="6" eb="7">
      <t>ヨウ</t>
    </rPh>
    <rPh sb="7" eb="9">
      <t>コンダテ</t>
    </rPh>
    <rPh sb="10" eb="12">
      <t>コニシ</t>
    </rPh>
    <rPh sb="12" eb="14">
      <t>センセイ</t>
    </rPh>
    <phoneticPr fontId="32"/>
  </si>
  <si>
    <t>鶏の唐揚、ブロッコリー</t>
    <rPh sb="0" eb="1">
      <t>トリ</t>
    </rPh>
    <rPh sb="2" eb="4">
      <t>カラアゲ</t>
    </rPh>
    <phoneticPr fontId="32"/>
  </si>
  <si>
    <t>ボイルウインナー、ポテト</t>
  </si>
  <si>
    <t>みかん缶</t>
    <rPh sb="3" eb="4">
      <t>カン</t>
    </rPh>
    <phoneticPr fontId="32"/>
  </si>
  <si>
    <t>3月17日（火）</t>
    <phoneticPr fontId="32"/>
  </si>
  <si>
    <t>ゆかりおにぎり</t>
    <phoneticPr fontId="32"/>
  </si>
  <si>
    <t>【遠足献立（小西先生オリジナル）】</t>
    <rPh sb="1" eb="3">
      <t>エンソク</t>
    </rPh>
    <rPh sb="3" eb="5">
      <t>コンダテ</t>
    </rPh>
    <rPh sb="6" eb="8">
      <t>コニシ</t>
    </rPh>
    <rPh sb="8" eb="10">
      <t>センセイ</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</si>
</sst>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2"/>
    <numFmt numFmtId="177" formatCode="#\ ?/4"/>
    <numFmt numFmtId="178" formatCode="#\ ?/8"/>
    <numFmt numFmtId="179" formatCode="#\ ?/10"/>
    <numFmt numFmtId="180" formatCode="#\ ?/6"/>
    <numFmt numFmtId="181" formatCode="0.0_ "/>
    <numFmt numFmtId="182" formatCode="0_ "/>
  </numFmts>
  <fonts count="35">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b/>
      <sz val="20"/>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10"/>
      <color rgb="FFFF0000"/>
      <name val="ＭＳ Ｐ明朝"/>
      <family val="1"/>
      <charset val="128"/>
    </font>
    <font>
      <sz val="6"/>
      <name val="ＭＳ Ｐゴシック"/>
      <family val="2"/>
      <charset val="128"/>
      <scheme val="minor"/>
    </font>
    <font>
      <sz val="20"/>
      <name val="ＭＳ Ｐゴシック"/>
      <family val="3"/>
      <charset val="128"/>
    </font>
    <font>
      <sz val="22"/>
      <name val="ＭＳ Ｐゴシック"/>
      <family val="3"/>
      <charset val="128"/>
    </font>
  </fonts>
  <fills count="13">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D7FFAF"/>
        <bgColor indexed="64"/>
      </patternFill>
    </fill>
    <fill>
      <patternFill patternType="solid">
        <fgColor rgb="FFFFFF00"/>
        <bgColor indexed="64"/>
      </patternFill>
    </fill>
    <fill>
      <patternFill patternType="solid">
        <fgColor rgb="FFFFDDFF"/>
        <bgColor indexed="64"/>
      </patternFill>
    </fill>
    <fill>
      <patternFill patternType="solid">
        <fgColor rgb="FFC9F1FF"/>
        <bgColor indexed="64"/>
      </patternFill>
    </fill>
    <fill>
      <patternFill patternType="solid">
        <fgColor theme="0" tint="-0.249977111117893"/>
        <bgColor indexed="64"/>
      </patternFill>
    </fill>
    <fill>
      <patternFill patternType="solid">
        <fgColor rgb="FFFFE6C1"/>
        <bgColor indexed="64"/>
      </patternFill>
    </fill>
    <fill>
      <patternFill patternType="solid">
        <fgColor rgb="FFFFFFCC"/>
        <bgColor indexed="64"/>
      </patternFill>
    </fill>
  </fills>
  <borders count="39">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220">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1"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0" fontId="10" fillId="0" borderId="5"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xf>
    <xf numFmtId="0" fontId="12" fillId="0" borderId="5" xfId="1" applyNumberFormat="1" applyFont="1" applyBorder="1" applyAlignment="1">
      <alignment horizontal="center" vertical="center" wrapText="1" shrinkToFit="1"/>
    </xf>
    <xf numFmtId="0" fontId="10"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5" xfId="1" applyNumberFormat="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4" fillId="0" borderId="8" xfId="1" applyFont="1" applyBorder="1" applyAlignment="1">
      <alignment vertical="top" shrinkToFit="1"/>
    </xf>
    <xf numFmtId="0" fontId="6" fillId="0" borderId="8" xfId="1" applyFont="1" applyBorder="1" applyAlignment="1">
      <alignment vertical="center" shrinkToFit="1"/>
    </xf>
    <xf numFmtId="0" fontId="4" fillId="0" borderId="8" xfId="1" applyNumberFormat="1" applyFont="1" applyBorder="1" applyAlignment="1">
      <alignment horizontal="center" vertical="top" shrinkToFit="1"/>
    </xf>
    <xf numFmtId="0" fontId="13" fillId="0" borderId="8" xfId="1" applyFont="1" applyBorder="1" applyAlignment="1">
      <alignment horizontal="center" vertical="top" shrinkToFit="1"/>
    </xf>
    <xf numFmtId="0" fontId="13" fillId="0" borderId="8" xfId="1" applyFont="1" applyBorder="1" applyAlignment="1">
      <alignment vertical="top" shrinkToFit="1"/>
    </xf>
    <xf numFmtId="0" fontId="15" fillId="0" borderId="8" xfId="1" applyNumberFormat="1" applyFont="1" applyBorder="1" applyAlignment="1">
      <alignment horizontal="center" vertical="top"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179" fontId="4" fillId="0" borderId="10"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177" fontId="4" fillId="0" borderId="10" xfId="1" applyNumberFormat="1" applyFont="1" applyBorder="1" applyAlignment="1">
      <alignment horizontal="center" vertical="top" shrinkToFit="1"/>
    </xf>
    <xf numFmtId="180" fontId="4" fillId="0" borderId="10" xfId="1" applyNumberFormat="1" applyFont="1" applyBorder="1" applyAlignment="1">
      <alignment horizontal="center" vertical="top" shrinkToFit="1"/>
    </xf>
    <xf numFmtId="0" fontId="14" fillId="0" borderId="16" xfId="1" applyFont="1" applyBorder="1" applyAlignment="1">
      <alignment vertical="top" shrinkToFit="1"/>
    </xf>
    <xf numFmtId="0" fontId="14" fillId="0" borderId="17" xfId="1" applyFont="1" applyBorder="1" applyAlignment="1">
      <alignment vertical="top" shrinkToFit="1"/>
    </xf>
    <xf numFmtId="0" fontId="14" fillId="0" borderId="1" xfId="1" applyFont="1" applyBorder="1" applyAlignment="1">
      <alignment vertical="top" shrinkToFit="1"/>
    </xf>
    <xf numFmtId="0" fontId="14" fillId="0" borderId="18" xfId="1" applyFont="1" applyBorder="1" applyAlignment="1">
      <alignment vertical="top" shrinkToFit="1"/>
    </xf>
    <xf numFmtId="0" fontId="13" fillId="0" borderId="19" xfId="1" applyFont="1" applyBorder="1" applyAlignment="1">
      <alignment horizontal="center"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5" fillId="0" borderId="12" xfId="1" applyFont="1" applyBorder="1" applyAlignment="1">
      <alignment horizontal="center"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178" fontId="4" fillId="0" borderId="10" xfId="1" applyNumberFormat="1" applyFont="1" applyBorder="1" applyAlignment="1">
      <alignment horizontal="center" vertical="top" shrinkToFit="1"/>
    </xf>
    <xf numFmtId="176" fontId="4" fillId="0" borderId="10" xfId="1" applyNumberFormat="1" applyFont="1" applyBorder="1" applyAlignment="1">
      <alignment horizontal="center" vertical="top" shrinkToFit="1"/>
    </xf>
    <xf numFmtId="176" fontId="4" fillId="0" borderId="8" xfId="1" applyNumberFormat="1" applyFont="1" applyBorder="1" applyAlignment="1">
      <alignment horizontal="center" vertical="top" shrinkToFit="1"/>
    </xf>
    <xf numFmtId="0" fontId="14" fillId="0" borderId="1" xfId="1" applyFont="1" applyBorder="1" applyAlignment="1">
      <alignment vertical="top" wrapText="1" shrinkToFit="1"/>
    </xf>
    <xf numFmtId="0" fontId="4" fillId="0" borderId="12" xfId="1" applyNumberFormat="1" applyFont="1" applyBorder="1" applyAlignment="1">
      <alignment horizontal="center" vertical="top" shrinkToFit="1"/>
    </xf>
    <xf numFmtId="0" fontId="4" fillId="0" borderId="13"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14" fillId="0" borderId="0" xfId="1" applyFont="1" applyBorder="1" applyAlignment="1">
      <alignment vertical="top" shrinkToFit="1"/>
    </xf>
    <xf numFmtId="0" fontId="4" fillId="0" borderId="15" xfId="1" applyNumberFormat="1" applyFont="1" applyBorder="1" applyAlignment="1">
      <alignment horizontal="center" vertical="top" shrinkToFit="1"/>
    </xf>
    <xf numFmtId="0" fontId="1" fillId="0" borderId="0" xfId="1" applyFont="1" applyAlignment="1">
      <alignment vertical="center" shrinkToFit="1"/>
    </xf>
    <xf numFmtId="0" fontId="1" fillId="0" borderId="0" xfId="1" applyFont="1" applyAlignment="1">
      <alignment horizontal="right" vertical="center" shrinkToFit="1"/>
    </xf>
    <xf numFmtId="0" fontId="20" fillId="0" borderId="0" xfId="1" applyFont="1" applyFill="1" applyAlignment="1">
      <alignment horizontal="center" vertical="center"/>
    </xf>
    <xf numFmtId="0" fontId="20" fillId="0" borderId="0" xfId="1" applyFont="1" applyFill="1">
      <alignment vertical="center"/>
    </xf>
    <xf numFmtId="181" fontId="20" fillId="0" borderId="0" xfId="1" applyNumberFormat="1" applyFont="1" applyFill="1">
      <alignment vertical="center"/>
    </xf>
    <xf numFmtId="0" fontId="20" fillId="0" borderId="30" xfId="1" applyFont="1" applyFill="1" applyBorder="1" applyAlignment="1">
      <alignment horizontal="center" vertical="center"/>
    </xf>
    <xf numFmtId="0" fontId="20" fillId="0" borderId="30" xfId="1" applyFont="1" applyFill="1" applyBorder="1" applyAlignment="1">
      <alignment vertical="center"/>
    </xf>
    <xf numFmtId="0" fontId="25" fillId="0" borderId="1" xfId="1" applyFont="1" applyFill="1" applyBorder="1" applyAlignment="1">
      <alignment horizontal="center" vertical="center" wrapText="1"/>
    </xf>
    <xf numFmtId="0" fontId="20" fillId="0" borderId="10" xfId="3" applyFont="1" applyBorder="1" applyAlignment="1">
      <alignment horizontal="center" wrapText="1" shrinkToFit="1"/>
    </xf>
    <xf numFmtId="0" fontId="28" fillId="6" borderId="34" xfId="1" applyFont="1" applyFill="1" applyBorder="1" applyAlignment="1">
      <alignment horizontal="left" vertical="center"/>
    </xf>
    <xf numFmtId="0" fontId="29" fillId="0" borderId="30" xfId="1" applyFont="1" applyFill="1" applyBorder="1" applyAlignment="1">
      <alignment horizontal="left" vertical="top" wrapText="1"/>
    </xf>
    <xf numFmtId="182" fontId="28" fillId="0" borderId="34" xfId="1" applyNumberFormat="1" applyFont="1" applyFill="1" applyBorder="1">
      <alignment vertical="center"/>
    </xf>
    <xf numFmtId="0" fontId="28" fillId="0" borderId="34" xfId="1" applyFont="1" applyFill="1" applyBorder="1">
      <alignment vertical="center"/>
    </xf>
    <xf numFmtId="0" fontId="28" fillId="0" borderId="34" xfId="1" applyFont="1" applyFill="1" applyBorder="1" applyAlignment="1">
      <alignment horizontal="left" vertical="top" shrinkToFit="1"/>
    </xf>
    <xf numFmtId="182" fontId="28" fillId="0" borderId="34" xfId="1" applyNumberFormat="1" applyFont="1" applyFill="1" applyBorder="1" applyAlignment="1">
      <alignment horizontal="right" vertical="center"/>
    </xf>
    <xf numFmtId="0" fontId="28" fillId="0" borderId="34" xfId="1" applyFont="1" applyFill="1" applyBorder="1" applyAlignment="1">
      <alignment horizontal="left" vertical="center"/>
    </xf>
    <xf numFmtId="0" fontId="28" fillId="0" borderId="10" xfId="1" applyFont="1" applyFill="1" applyBorder="1">
      <alignment vertical="center"/>
    </xf>
    <xf numFmtId="181" fontId="28" fillId="0" borderId="10" xfId="1" applyNumberFormat="1" applyFont="1" applyFill="1" applyBorder="1">
      <alignment vertical="center"/>
    </xf>
    <xf numFmtId="0" fontId="28" fillId="0" borderId="10" xfId="3" applyFont="1" applyFill="1" applyBorder="1" applyAlignment="1">
      <alignment horizontal="left" vertical="top" wrapText="1"/>
    </xf>
    <xf numFmtId="0" fontId="28" fillId="0" borderId="10" xfId="1" applyFont="1" applyFill="1" applyBorder="1" applyAlignment="1">
      <alignment horizontal="left" vertical="top" shrinkToFit="1"/>
    </xf>
    <xf numFmtId="0" fontId="28" fillId="0" borderId="10" xfId="1" applyFont="1" applyFill="1" applyBorder="1" applyAlignment="1">
      <alignment vertical="center"/>
    </xf>
    <xf numFmtId="0" fontId="28" fillId="0" borderId="9" xfId="1" applyFont="1" applyFill="1" applyBorder="1">
      <alignment vertical="center"/>
    </xf>
    <xf numFmtId="181" fontId="28" fillId="0" borderId="9" xfId="1" applyNumberFormat="1" applyFont="1" applyFill="1" applyBorder="1">
      <alignment vertical="center"/>
    </xf>
    <xf numFmtId="0" fontId="28" fillId="0" borderId="9" xfId="1" applyFont="1" applyFill="1" applyBorder="1" applyAlignment="1">
      <alignment horizontal="left" vertical="top" shrinkToFit="1"/>
    </xf>
    <xf numFmtId="0" fontId="28" fillId="0" borderId="9" xfId="1" applyFont="1" applyFill="1" applyBorder="1" applyAlignment="1">
      <alignment vertical="center"/>
    </xf>
    <xf numFmtId="0" fontId="28" fillId="8" borderId="10" xfId="1" applyFont="1" applyFill="1" applyBorder="1">
      <alignment vertical="center"/>
    </xf>
    <xf numFmtId="0" fontId="28" fillId="9" borderId="10" xfId="1" applyFont="1" applyFill="1" applyBorder="1">
      <alignment vertical="center"/>
    </xf>
    <xf numFmtId="0" fontId="28" fillId="11" borderId="10" xfId="1" applyFont="1" applyFill="1" applyBorder="1">
      <alignment vertical="center"/>
    </xf>
    <xf numFmtId="0" fontId="29" fillId="0" borderId="10" xfId="1" applyFont="1" applyFill="1" applyBorder="1">
      <alignment vertical="center"/>
    </xf>
    <xf numFmtId="0" fontId="29" fillId="0" borderId="34" xfId="1" applyFont="1" applyFill="1" applyBorder="1">
      <alignment vertical="center"/>
    </xf>
    <xf numFmtId="0" fontId="28" fillId="6" borderId="34" xfId="1" applyFont="1" applyFill="1" applyBorder="1" applyAlignment="1">
      <alignment vertical="center" shrinkToFit="1"/>
    </xf>
    <xf numFmtId="0" fontId="28" fillId="12" borderId="10" xfId="1" applyFont="1" applyFill="1" applyBorder="1">
      <alignment vertical="center"/>
    </xf>
    <xf numFmtId="0" fontId="28" fillId="0" borderId="34" xfId="1" applyFont="1" applyFill="1" applyBorder="1" applyAlignment="1">
      <alignment vertical="center" shrinkToFit="1"/>
    </xf>
    <xf numFmtId="0" fontId="28" fillId="0" borderId="9" xfId="1" applyFont="1" applyFill="1" applyBorder="1" applyAlignment="1">
      <alignment horizontal="center" vertical="center" shrinkToFit="1"/>
    </xf>
    <xf numFmtId="0" fontId="29" fillId="0" borderId="30" xfId="1" applyFont="1" applyBorder="1" applyAlignment="1">
      <alignment horizontal="left" vertical="top" wrapText="1"/>
    </xf>
    <xf numFmtId="0" fontId="28" fillId="0" borderId="30" xfId="1" applyFont="1" applyFill="1" applyBorder="1" applyAlignment="1">
      <alignment horizontal="center" vertical="center" shrinkToFit="1"/>
    </xf>
    <xf numFmtId="0" fontId="28" fillId="0" borderId="30" xfId="1" applyFont="1" applyFill="1" applyBorder="1" applyAlignment="1">
      <alignment horizontal="center" vertical="center"/>
    </xf>
    <xf numFmtId="0" fontId="28" fillId="0" borderId="30" xfId="1" applyFont="1" applyFill="1" applyBorder="1" applyAlignment="1">
      <alignment vertical="center"/>
    </xf>
    <xf numFmtId="0" fontId="28" fillId="0" borderId="31" xfId="1" applyFont="1" applyFill="1" applyBorder="1" applyAlignment="1">
      <alignment horizontal="center" vertical="center"/>
    </xf>
    <xf numFmtId="0" fontId="28" fillId="0" borderId="33" xfId="1" applyFont="1" applyFill="1" applyBorder="1">
      <alignment vertical="center"/>
    </xf>
    <xf numFmtId="182" fontId="28" fillId="0" borderId="30" xfId="1" applyNumberFormat="1" applyFont="1" applyFill="1" applyBorder="1" applyAlignment="1">
      <alignment horizontal="center" vertical="center"/>
    </xf>
    <xf numFmtId="181" fontId="28" fillId="0" borderId="30" xfId="1" applyNumberFormat="1" applyFont="1" applyFill="1" applyBorder="1" applyAlignment="1">
      <alignment horizontal="center" vertical="center"/>
    </xf>
    <xf numFmtId="181" fontId="28" fillId="0" borderId="30" xfId="1" applyNumberFormat="1" applyFont="1" applyFill="1" applyBorder="1" applyAlignment="1">
      <alignment vertical="center"/>
    </xf>
    <xf numFmtId="181" fontId="20" fillId="0" borderId="30" xfId="1" applyNumberFormat="1" applyFont="1" applyFill="1" applyBorder="1" applyAlignment="1">
      <alignment horizontal="center" vertical="center"/>
    </xf>
    <xf numFmtId="0" fontId="20" fillId="0" borderId="36" xfId="1" applyFont="1" applyFill="1" applyBorder="1" applyAlignment="1">
      <alignment horizontal="center" vertical="center"/>
    </xf>
    <xf numFmtId="0" fontId="20" fillId="0" borderId="36" xfId="1" applyFont="1" applyFill="1" applyBorder="1">
      <alignment vertical="center"/>
    </xf>
    <xf numFmtId="0" fontId="30" fillId="0" borderId="36" xfId="1" applyFont="1" applyFill="1" applyBorder="1" applyAlignment="1">
      <alignment horizontal="left" vertical="center"/>
    </xf>
    <xf numFmtId="182" fontId="20" fillId="0" borderId="36" xfId="1" applyNumberFormat="1" applyFont="1" applyFill="1" applyBorder="1" applyAlignment="1">
      <alignment horizontal="center" vertical="center"/>
    </xf>
    <xf numFmtId="181" fontId="20" fillId="0" borderId="36" xfId="1" applyNumberFormat="1" applyFont="1" applyFill="1" applyBorder="1" applyAlignment="1">
      <alignment horizontal="center" vertical="center"/>
    </xf>
    <xf numFmtId="181" fontId="20" fillId="0" borderId="0" xfId="1" applyNumberFormat="1" applyFont="1" applyFill="1" applyBorder="1">
      <alignment vertical="center"/>
    </xf>
    <xf numFmtId="0" fontId="20" fillId="0" borderId="0" xfId="1" applyFont="1" applyFill="1" applyBorder="1">
      <alignment vertical="center"/>
    </xf>
    <xf numFmtId="181" fontId="20" fillId="0" borderId="0" xfId="1" applyNumberFormat="1" applyFont="1" applyFill="1" applyBorder="1" applyAlignment="1">
      <alignment horizontal="center" vertical="center"/>
    </xf>
    <xf numFmtId="0" fontId="28" fillId="0" borderId="0" xfId="1" applyFont="1" applyFill="1" applyBorder="1" applyAlignment="1">
      <alignment vertical="center" wrapText="1"/>
    </xf>
    <xf numFmtId="0" fontId="28" fillId="0" borderId="0" xfId="3" applyFont="1" applyFill="1" applyBorder="1" applyAlignment="1">
      <alignment vertical="center"/>
    </xf>
    <xf numFmtId="0" fontId="31" fillId="0" borderId="0"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0" xfId="1" applyFont="1" applyFill="1" applyBorder="1" applyAlignment="1">
      <alignment horizontal="left" vertical="center"/>
    </xf>
    <xf numFmtId="0" fontId="28" fillId="0" borderId="0" xfId="1" applyFont="1" applyFill="1" applyBorder="1" applyAlignment="1">
      <alignment horizontal="center" vertical="center"/>
    </xf>
    <xf numFmtId="0" fontId="28" fillId="0" borderId="0" xfId="1" applyFont="1" applyFill="1" applyBorder="1" applyAlignment="1">
      <alignment vertical="center"/>
    </xf>
    <xf numFmtId="0" fontId="28" fillId="0" borderId="0" xfId="1" applyFont="1" applyFill="1" applyBorder="1" applyAlignment="1">
      <alignment horizontal="left" vertical="top"/>
    </xf>
    <xf numFmtId="0" fontId="20" fillId="0" borderId="0" xfId="1" applyFont="1" applyFill="1" applyBorder="1" applyAlignment="1">
      <alignment horizontal="left" vertical="center"/>
    </xf>
    <xf numFmtId="0" fontId="20" fillId="0" borderId="0" xfId="1" applyFont="1" applyFill="1" applyBorder="1" applyAlignment="1">
      <alignment vertical="center" wrapText="1"/>
    </xf>
    <xf numFmtId="0" fontId="20" fillId="0" borderId="0" xfId="1" applyFont="1" applyFill="1" applyBorder="1" applyAlignment="1">
      <alignment horizontal="left" vertical="top" wrapText="1"/>
    </xf>
    <xf numFmtId="0" fontId="20" fillId="0" borderId="0" xfId="1" applyFont="1" applyFill="1" applyAlignment="1">
      <alignment horizontal="left" vertical="center"/>
    </xf>
    <xf numFmtId="0" fontId="2" fillId="0" borderId="0" xfId="1" applyFont="1" applyAlignment="1">
      <alignment horizontal="center" vertical="center"/>
    </xf>
    <xf numFmtId="0" fontId="9" fillId="0" borderId="0" xfId="1" applyFont="1" applyBorder="1" applyAlignment="1">
      <alignment horizontal="left" shrinkToFit="1"/>
    </xf>
    <xf numFmtId="0" fontId="26" fillId="0" borderId="2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20" fillId="0" borderId="10" xfId="3" applyFont="1" applyBorder="1" applyAlignment="1">
      <alignment horizontal="center" wrapText="1" shrinkToFit="1"/>
    </xf>
    <xf numFmtId="0" fontId="20" fillId="0" borderId="9" xfId="3" applyFont="1" applyBorder="1" applyAlignment="1">
      <alignment horizontal="center" wrapText="1" shrinkToFit="1"/>
    </xf>
    <xf numFmtId="0" fontId="22" fillId="2" borderId="30" xfId="1" applyFont="1" applyFill="1" applyBorder="1" applyAlignment="1">
      <alignment horizontal="center" vertical="center" textRotation="255" shrinkToFit="1"/>
    </xf>
    <xf numFmtId="0" fontId="23" fillId="0" borderId="30" xfId="1" applyFont="1" applyFill="1" applyBorder="1" applyAlignment="1">
      <alignment horizontal="center" vertical="center" textRotation="255"/>
    </xf>
    <xf numFmtId="0" fontId="24" fillId="0" borderId="30" xfId="1" applyFont="1" applyFill="1" applyBorder="1" applyAlignment="1">
      <alignment horizontal="left" vertical="center"/>
    </xf>
    <xf numFmtId="0" fontId="20" fillId="0" borderId="30" xfId="1" applyFont="1" applyFill="1" applyBorder="1" applyAlignment="1">
      <alignment horizontal="center" vertical="center"/>
    </xf>
    <xf numFmtId="0" fontId="25" fillId="0" borderId="31"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25" fillId="0" borderId="33" xfId="1" applyFont="1" applyFill="1" applyBorder="1" applyAlignment="1">
      <alignment horizontal="center" vertical="center" wrapText="1"/>
    </xf>
    <xf numFmtId="0" fontId="20" fillId="3" borderId="30" xfId="1" applyFont="1" applyFill="1" applyBorder="1" applyAlignment="1">
      <alignment horizontal="center" wrapText="1" shrinkToFit="1"/>
    </xf>
    <xf numFmtId="0" fontId="20" fillId="4" borderId="30" xfId="1" applyFont="1" applyFill="1" applyBorder="1" applyAlignment="1">
      <alignment horizontal="center" wrapText="1" shrinkToFit="1"/>
    </xf>
    <xf numFmtId="0" fontId="20" fillId="5" borderId="30" xfId="1" applyFont="1" applyFill="1" applyBorder="1" applyAlignment="1">
      <alignment horizontal="center" wrapText="1" shrinkToFit="1"/>
    </xf>
    <xf numFmtId="0" fontId="1" fillId="0" borderId="30" xfId="1" applyBorder="1" applyAlignment="1">
      <alignment horizontal="center" wrapText="1" shrinkToFit="1"/>
    </xf>
    <xf numFmtId="0" fontId="28" fillId="0" borderId="34" xfId="3" applyFont="1" applyFill="1" applyBorder="1" applyAlignment="1">
      <alignment horizontal="left" vertical="top" wrapText="1"/>
    </xf>
    <xf numFmtId="0" fontId="28" fillId="0" borderId="10" xfId="3" applyFont="1" applyFill="1" applyBorder="1" applyAlignment="1">
      <alignment horizontal="left" vertical="top" wrapText="1"/>
    </xf>
    <xf numFmtId="0" fontId="28" fillId="0" borderId="9" xfId="3" applyFont="1" applyFill="1" applyBorder="1" applyAlignment="1">
      <alignment horizontal="left" vertical="top" wrapText="1"/>
    </xf>
    <xf numFmtId="0" fontId="20" fillId="0" borderId="34" xfId="1" applyFont="1" applyFill="1" applyBorder="1" applyAlignment="1">
      <alignment horizontal="center" vertical="center" shrinkToFit="1"/>
    </xf>
    <xf numFmtId="0" fontId="20" fillId="0" borderId="10"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28" fillId="0" borderId="30" xfId="1" applyFont="1" applyFill="1" applyBorder="1" applyAlignment="1">
      <alignment horizontal="center" vertical="center" wrapText="1"/>
    </xf>
    <xf numFmtId="0" fontId="28" fillId="0" borderId="30" xfId="1" applyFont="1" applyFill="1" applyBorder="1" applyAlignment="1">
      <alignment horizontal="center" vertical="center" textRotation="255" shrinkToFit="1"/>
    </xf>
    <xf numFmtId="0" fontId="29" fillId="0" borderId="30" xfId="1" applyFont="1" applyFill="1" applyBorder="1" applyAlignment="1">
      <alignment horizontal="left" vertical="top" wrapText="1"/>
    </xf>
    <xf numFmtId="0" fontId="7" fillId="0" borderId="30" xfId="1" applyFont="1" applyFill="1" applyBorder="1" applyAlignment="1">
      <alignment horizontal="left" vertical="top" wrapText="1"/>
    </xf>
    <xf numFmtId="0" fontId="28" fillId="0" borderId="30" xfId="1" applyFont="1" applyFill="1" applyBorder="1" applyAlignment="1">
      <alignment horizontal="center" vertical="center"/>
    </xf>
    <xf numFmtId="0" fontId="28" fillId="0" borderId="30" xfId="1" applyFont="1" applyFill="1" applyBorder="1" applyAlignment="1">
      <alignment vertical="center"/>
    </xf>
    <xf numFmtId="0" fontId="20" fillId="0" borderId="30" xfId="1" applyFont="1" applyFill="1" applyBorder="1" applyAlignment="1">
      <alignment horizontal="right" vertical="center"/>
    </xf>
    <xf numFmtId="0" fontId="28" fillId="0" borderId="30" xfId="1" applyFont="1" applyFill="1" applyBorder="1" applyAlignment="1">
      <alignment vertical="center" wrapText="1"/>
    </xf>
    <xf numFmtId="0" fontId="28" fillId="7" borderId="30" xfId="1" applyFont="1" applyFill="1" applyBorder="1" applyAlignment="1">
      <alignment horizontal="center" vertical="center" wrapText="1"/>
    </xf>
    <xf numFmtId="0" fontId="28" fillId="7" borderId="30" xfId="1" applyFont="1" applyFill="1" applyBorder="1" applyAlignment="1">
      <alignment vertical="center"/>
    </xf>
    <xf numFmtId="0" fontId="28" fillId="7" borderId="30" xfId="1" applyFont="1" applyFill="1" applyBorder="1" applyAlignment="1">
      <alignment horizontal="center" vertical="center" textRotation="255" shrinkToFit="1"/>
    </xf>
    <xf numFmtId="0" fontId="28" fillId="10" borderId="35" xfId="1" applyFont="1" applyFill="1" applyBorder="1" applyAlignment="1">
      <alignment horizontal="center" vertical="center"/>
    </xf>
    <xf numFmtId="0" fontId="28" fillId="10" borderId="36" xfId="1" applyFont="1" applyFill="1" applyBorder="1" applyAlignment="1">
      <alignment horizontal="center" vertical="center"/>
    </xf>
    <xf numFmtId="0" fontId="28" fillId="10" borderId="37" xfId="1" applyFont="1" applyFill="1" applyBorder="1" applyAlignment="1">
      <alignment horizontal="center" vertical="center"/>
    </xf>
    <xf numFmtId="0" fontId="28" fillId="10" borderId="21" xfId="1" applyFont="1" applyFill="1" applyBorder="1" applyAlignment="1">
      <alignment horizontal="center" vertical="center"/>
    </xf>
    <xf numFmtId="0" fontId="28" fillId="10" borderId="0" xfId="1" applyFont="1" applyFill="1" applyBorder="1" applyAlignment="1">
      <alignment horizontal="center" vertical="center"/>
    </xf>
    <xf numFmtId="0" fontId="28" fillId="10" borderId="1" xfId="1" applyFont="1" applyFill="1" applyBorder="1" applyAlignment="1">
      <alignment horizontal="center" vertical="center"/>
    </xf>
    <xf numFmtId="0" fontId="28" fillId="0" borderId="31" xfId="1" applyFont="1" applyFill="1" applyBorder="1" applyAlignment="1">
      <alignment horizontal="center" vertical="center"/>
    </xf>
    <xf numFmtId="0" fontId="28" fillId="0" borderId="33" xfId="1" applyFont="1" applyFill="1" applyBorder="1" applyAlignment="1">
      <alignment horizontal="center" vertical="center"/>
    </xf>
    <xf numFmtId="181" fontId="28" fillId="0" borderId="31" xfId="1" applyNumberFormat="1" applyFont="1" applyFill="1" applyBorder="1" applyAlignment="1">
      <alignment horizontal="center" vertical="center"/>
    </xf>
    <xf numFmtId="181" fontId="28" fillId="0" borderId="33" xfId="1" applyNumberFormat="1" applyFont="1" applyFill="1" applyBorder="1" applyAlignment="1">
      <alignment horizontal="center" vertical="center"/>
    </xf>
    <xf numFmtId="0" fontId="28" fillId="0" borderId="36" xfId="1" applyFont="1" applyFill="1" applyBorder="1" applyAlignment="1">
      <alignment horizontal="left" vertical="center" shrinkToFit="1"/>
    </xf>
    <xf numFmtId="0" fontId="28" fillId="10" borderId="20" xfId="1" applyFont="1" applyFill="1" applyBorder="1" applyAlignment="1">
      <alignment horizontal="center" vertical="center"/>
    </xf>
    <xf numFmtId="0" fontId="28" fillId="10" borderId="38" xfId="1" applyFont="1" applyFill="1" applyBorder="1" applyAlignment="1">
      <alignment horizontal="center" vertical="center"/>
    </xf>
    <xf numFmtId="0" fontId="28" fillId="10" borderId="17" xfId="1" applyFont="1" applyFill="1" applyBorder="1" applyAlignment="1">
      <alignment horizontal="center" vertical="center"/>
    </xf>
    <xf numFmtId="0" fontId="28" fillId="0" borderId="9" xfId="1" applyFont="1" applyFill="1" applyBorder="1" applyAlignment="1">
      <alignment horizontal="center" vertical="center"/>
    </xf>
    <xf numFmtId="0" fontId="28" fillId="0" borderId="20" xfId="1" applyFont="1" applyFill="1" applyBorder="1" applyAlignment="1">
      <alignment horizontal="center" vertical="center"/>
    </xf>
    <xf numFmtId="0" fontId="28" fillId="0" borderId="38" xfId="1" applyFont="1" applyFill="1" applyBorder="1" applyAlignment="1">
      <alignment horizontal="center" vertical="center"/>
    </xf>
    <xf numFmtId="0" fontId="28" fillId="0" borderId="17" xfId="1" applyFont="1" applyFill="1" applyBorder="1" applyAlignment="1">
      <alignment horizontal="center" vertical="center"/>
    </xf>
    <xf numFmtId="0" fontId="29" fillId="0" borderId="30" xfId="1" applyFont="1" applyBorder="1" applyAlignment="1">
      <alignment horizontal="left" vertical="top" wrapTex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18" fillId="0" borderId="0" xfId="1" applyFont="1" applyAlignment="1">
      <alignment horizontal="center" vertical="center" shrinkToFit="1"/>
    </xf>
    <xf numFmtId="0" fontId="2" fillId="0" borderId="0" xfId="1" applyFont="1" applyAlignment="1">
      <alignment vertical="center" shrinkToFit="1"/>
    </xf>
    <xf numFmtId="0" fontId="18" fillId="0" borderId="0" xfId="1" applyNumberFormat="1" applyFont="1" applyAlignment="1">
      <alignment vertical="top"/>
    </xf>
    <xf numFmtId="0" fontId="33" fillId="0" borderId="0" xfId="1" applyNumberFormat="1" applyFont="1" applyAlignment="1">
      <alignment vertical="top"/>
    </xf>
    <xf numFmtId="56" fontId="34" fillId="0" borderId="0" xfId="1" applyNumberFormat="1" applyFont="1" applyBorder="1" applyAlignment="1">
      <alignment shrinkToFit="1"/>
    </xf>
    <xf numFmtId="0" fontId="14" fillId="0" borderId="0" xfId="1" applyFont="1" applyAlignment="1">
      <alignment vertical="top" wrapText="1"/>
    </xf>
  </cellXfs>
  <cellStyles count="4">
    <cellStyle name="標準" xfId="0" builtinId="0"/>
    <cellStyle name="標準 2" xfId="1"/>
    <cellStyle name="標準 2 16"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8.jpeg"/></Relationships>
</file>

<file path=xl/drawings/drawing1.xml><?xml version="1.0" encoding="utf-8"?>
<xdr:wsDr xmlns:xdr="http://schemas.openxmlformats.org/drawingml/2006/spreadsheetDrawing" xmlns:a="http://schemas.openxmlformats.org/drawingml/2006/main">
  <xdr:twoCellAnchor>
    <xdr:from>
      <xdr:col>11</xdr:col>
      <xdr:colOff>142875</xdr:colOff>
      <xdr:row>66</xdr:row>
      <xdr:rowOff>7702</xdr:rowOff>
    </xdr:from>
    <xdr:to>
      <xdr:col>13</xdr:col>
      <xdr:colOff>1047750</xdr:colOff>
      <xdr:row>72</xdr:row>
      <xdr:rowOff>28574</xdr:rowOff>
    </xdr:to>
    <xdr:sp macro="" textlink="">
      <xdr:nvSpPr>
        <xdr:cNvPr id="2" name="テキスト ボックス 1">
          <a:extLst>
            <a:ext uri="{FF2B5EF4-FFF2-40B4-BE49-F238E27FC236}">
              <a16:creationId xmlns:a16="http://schemas.microsoft.com/office/drawing/2014/main" xmlns="" id="{E81777C3-334A-4C16-A9B3-9134920C357F}"/>
            </a:ext>
          </a:extLst>
        </xdr:cNvPr>
        <xdr:cNvSpPr txBox="1"/>
      </xdr:nvSpPr>
      <xdr:spPr bwMode="auto">
        <a:xfrm>
          <a:off x="6848475" y="10913827"/>
          <a:ext cx="2028825" cy="9924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clientData/>
  </xdr:twoCellAnchor>
  <xdr:twoCellAnchor>
    <xdr:from>
      <xdr:col>11</xdr:col>
      <xdr:colOff>166576</xdr:colOff>
      <xdr:row>65</xdr:row>
      <xdr:rowOff>63500</xdr:rowOff>
    </xdr:from>
    <xdr:to>
      <xdr:col>13</xdr:col>
      <xdr:colOff>998082</xdr:colOff>
      <xdr:row>66</xdr:row>
      <xdr:rowOff>9</xdr:rowOff>
    </xdr:to>
    <xdr:pic>
      <xdr:nvPicPr>
        <xdr:cNvPr id="3"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2176" y="10807700"/>
          <a:ext cx="1955456" cy="98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199370</xdr:colOff>
      <xdr:row>68</xdr:row>
      <xdr:rowOff>65930</xdr:rowOff>
    </xdr:from>
    <xdr:to>
      <xdr:col>13</xdr:col>
      <xdr:colOff>1002205</xdr:colOff>
      <xdr:row>69</xdr:row>
      <xdr:rowOff>1045</xdr:rowOff>
    </xdr:to>
    <xdr:pic>
      <xdr:nvPicPr>
        <xdr:cNvPr id="4"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4970" y="11295905"/>
          <a:ext cx="1926785" cy="9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1156708</xdr:colOff>
      <xdr:row>56</xdr:row>
      <xdr:rowOff>15024</xdr:rowOff>
    </xdr:from>
    <xdr:to>
      <xdr:col>2</xdr:col>
      <xdr:colOff>1354758</xdr:colOff>
      <xdr:row>57</xdr:row>
      <xdr:rowOff>32104</xdr:rowOff>
    </xdr:to>
    <xdr:pic>
      <xdr:nvPicPr>
        <xdr:cNvPr id="5"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6783" y="9301899"/>
          <a:ext cx="198050" cy="179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1405663</xdr:colOff>
      <xdr:row>56</xdr:row>
      <xdr:rowOff>12072</xdr:rowOff>
    </xdr:from>
    <xdr:to>
      <xdr:col>2</xdr:col>
      <xdr:colOff>1651972</xdr:colOff>
      <xdr:row>57</xdr:row>
      <xdr:rowOff>145532</xdr:rowOff>
    </xdr:to>
    <xdr:pic>
      <xdr:nvPicPr>
        <xdr:cNvPr id="6"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5738" y="9298947"/>
          <a:ext cx="246309" cy="295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144992</xdr:colOff>
      <xdr:row>63</xdr:row>
      <xdr:rowOff>105018</xdr:rowOff>
    </xdr:from>
    <xdr:to>
      <xdr:col>10</xdr:col>
      <xdr:colOff>371183</xdr:colOff>
      <xdr:row>71</xdr:row>
      <xdr:rowOff>0</xdr:rowOff>
    </xdr:to>
    <xdr:grpSp>
      <xdr:nvGrpSpPr>
        <xdr:cNvPr id="7" name="グループ化 8323"/>
        <xdr:cNvGrpSpPr>
          <a:grpSpLocks/>
        </xdr:cNvGrpSpPr>
      </xdr:nvGrpSpPr>
      <xdr:grpSpPr bwMode="auto">
        <a:xfrm>
          <a:off x="494242" y="10376143"/>
          <a:ext cx="6179316" cy="1164982"/>
          <a:chOff x="145769" y="13458266"/>
          <a:chExt cx="6757122" cy="1166564"/>
        </a:xfrm>
      </xdr:grpSpPr>
      <xdr:pic>
        <xdr:nvPicPr>
          <xdr:cNvPr id="8" name="図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5769" y="14052171"/>
            <a:ext cx="806824" cy="400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48037" y="13894942"/>
            <a:ext cx="1400736" cy="5831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1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63803" y="13458266"/>
            <a:ext cx="1232174" cy="1166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52214" y="13727206"/>
            <a:ext cx="2050677" cy="656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742831" y="13772030"/>
            <a:ext cx="1199030" cy="636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1402446</xdr:colOff>
      <xdr:row>0</xdr:row>
      <xdr:rowOff>109046</xdr:rowOff>
    </xdr:from>
    <xdr:to>
      <xdr:col>2</xdr:col>
      <xdr:colOff>1994626</xdr:colOff>
      <xdr:row>4</xdr:row>
      <xdr:rowOff>92311</xdr:rowOff>
    </xdr:to>
    <xdr:pic>
      <xdr:nvPicPr>
        <xdr:cNvPr id="13" name="図 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002521" y="109046"/>
          <a:ext cx="592180" cy="869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73272</xdr:colOff>
      <xdr:row>0</xdr:row>
      <xdr:rowOff>33573</xdr:rowOff>
    </xdr:from>
    <xdr:to>
      <xdr:col>2</xdr:col>
      <xdr:colOff>401832</xdr:colOff>
      <xdr:row>3</xdr:row>
      <xdr:rowOff>106906</xdr:rowOff>
    </xdr:to>
    <xdr:pic>
      <xdr:nvPicPr>
        <xdr:cNvPr id="14" name="図 6"/>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16172" y="33573"/>
          <a:ext cx="585735" cy="806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284445</xdr:colOff>
      <xdr:row>0</xdr:row>
      <xdr:rowOff>297723</xdr:rowOff>
    </xdr:from>
    <xdr:to>
      <xdr:col>2</xdr:col>
      <xdr:colOff>1483014</xdr:colOff>
      <xdr:row>7</xdr:row>
      <xdr:rowOff>15875</xdr:rowOff>
    </xdr:to>
    <xdr:pic>
      <xdr:nvPicPr>
        <xdr:cNvPr id="15" name="図 7"/>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884520" y="297723"/>
          <a:ext cx="1198569" cy="1070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1961032</xdr:colOff>
      <xdr:row>0</xdr:row>
      <xdr:rowOff>111907</xdr:rowOff>
    </xdr:from>
    <xdr:to>
      <xdr:col>3</xdr:col>
      <xdr:colOff>803416</xdr:colOff>
      <xdr:row>3</xdr:row>
      <xdr:rowOff>30717</xdr:rowOff>
    </xdr:to>
    <xdr:pic>
      <xdr:nvPicPr>
        <xdr:cNvPr id="16" name="図 14"/>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561107" y="111907"/>
          <a:ext cx="871209" cy="652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658671</xdr:colOff>
      <xdr:row>0</xdr:row>
      <xdr:rowOff>100717</xdr:rowOff>
    </xdr:from>
    <xdr:to>
      <xdr:col>4</xdr:col>
      <xdr:colOff>1089074</xdr:colOff>
      <xdr:row>1</xdr:row>
      <xdr:rowOff>56619</xdr:rowOff>
    </xdr:to>
    <xdr:pic>
      <xdr:nvPicPr>
        <xdr:cNvPr id="17" name="図 16"/>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516296" y="100717"/>
          <a:ext cx="430403" cy="384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291862</xdr:colOff>
      <xdr:row>0</xdr:row>
      <xdr:rowOff>56629</xdr:rowOff>
    </xdr:from>
    <xdr:to>
      <xdr:col>12</xdr:col>
      <xdr:colOff>630036</xdr:colOff>
      <xdr:row>0</xdr:row>
      <xdr:rowOff>369231</xdr:rowOff>
    </xdr:to>
    <xdr:pic>
      <xdr:nvPicPr>
        <xdr:cNvPr id="18" name="図 2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flipH="1">
          <a:off x="7311787" y="56629"/>
          <a:ext cx="338174" cy="312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132797</xdr:colOff>
      <xdr:row>0</xdr:row>
      <xdr:rowOff>44763</xdr:rowOff>
    </xdr:from>
    <xdr:to>
      <xdr:col>16</xdr:col>
      <xdr:colOff>43714</xdr:colOff>
      <xdr:row>1</xdr:row>
      <xdr:rowOff>47282</xdr:rowOff>
    </xdr:to>
    <xdr:pic>
      <xdr:nvPicPr>
        <xdr:cNvPr id="19" name="図 19"/>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152972" y="44763"/>
          <a:ext cx="434792" cy="431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986595</xdr:colOff>
      <xdr:row>0</xdr:row>
      <xdr:rowOff>11192</xdr:rowOff>
    </xdr:from>
    <xdr:to>
      <xdr:col>5</xdr:col>
      <xdr:colOff>937409</xdr:colOff>
      <xdr:row>2</xdr:row>
      <xdr:rowOff>102680</xdr:rowOff>
    </xdr:to>
    <xdr:pic>
      <xdr:nvPicPr>
        <xdr:cNvPr id="20" name="図 20"/>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844220" y="11192"/>
          <a:ext cx="1179539" cy="672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795985</xdr:colOff>
      <xdr:row>0</xdr:row>
      <xdr:rowOff>0</xdr:rowOff>
    </xdr:from>
    <xdr:to>
      <xdr:col>4</xdr:col>
      <xdr:colOff>525451</xdr:colOff>
      <xdr:row>1</xdr:row>
      <xdr:rowOff>113140</xdr:rowOff>
    </xdr:to>
    <xdr:pic>
      <xdr:nvPicPr>
        <xdr:cNvPr id="21" name="図 25"/>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flipH="1">
          <a:off x="3424885" y="0"/>
          <a:ext cx="958191" cy="541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126347</xdr:colOff>
      <xdr:row>0</xdr:row>
      <xdr:rowOff>0</xdr:rowOff>
    </xdr:from>
    <xdr:to>
      <xdr:col>28</xdr:col>
      <xdr:colOff>1079501</xdr:colOff>
      <xdr:row>5</xdr:row>
      <xdr:rowOff>111043</xdr:rowOff>
    </xdr:to>
    <xdr:grpSp>
      <xdr:nvGrpSpPr>
        <xdr:cNvPr id="22" name="グループ化 8321"/>
        <xdr:cNvGrpSpPr>
          <a:grpSpLocks/>
        </xdr:cNvGrpSpPr>
      </xdr:nvGrpSpPr>
      <xdr:grpSpPr bwMode="auto">
        <a:xfrm>
          <a:off x="9921222" y="0"/>
          <a:ext cx="8176279" cy="1174668"/>
          <a:chOff x="9811132" y="-105977"/>
          <a:chExt cx="8768021" cy="1139172"/>
        </a:xfrm>
      </xdr:grpSpPr>
      <xdr:pic>
        <xdr:nvPicPr>
          <xdr:cNvPr id="23" name="図 21"/>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0283601" y="-105977"/>
            <a:ext cx="1277470" cy="1139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23"/>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4522827" y="0"/>
            <a:ext cx="655978" cy="593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24"/>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6839324" y="-10596"/>
            <a:ext cx="532648" cy="537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7"/>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8344030" y="112059"/>
            <a:ext cx="235123" cy="2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8"/>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7604441" y="0"/>
            <a:ext cx="683559" cy="460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30"/>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9811132" y="76966"/>
            <a:ext cx="465245" cy="739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319"/>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1911853" y="56029"/>
            <a:ext cx="1221441" cy="677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35"/>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3913224" y="112059"/>
            <a:ext cx="235123" cy="2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36"/>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3173635" y="0"/>
            <a:ext cx="683559" cy="460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8320"/>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5465511" y="15463"/>
            <a:ext cx="1176618" cy="307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1016429</xdr:colOff>
      <xdr:row>12</xdr:row>
      <xdr:rowOff>27212</xdr:rowOff>
    </xdr:from>
    <xdr:to>
      <xdr:col>2</xdr:col>
      <xdr:colOff>1617998</xdr:colOff>
      <xdr:row>15</xdr:row>
      <xdr:rowOff>103295</xdr:rowOff>
    </xdr:to>
    <xdr:pic>
      <xdr:nvPicPr>
        <xdr:cNvPr id="33" name="図 40"/>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616504" y="2189387"/>
          <a:ext cx="601569" cy="561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41275</xdr:colOff>
      <xdr:row>0</xdr:row>
      <xdr:rowOff>0</xdr:rowOff>
    </xdr:from>
    <xdr:to>
      <xdr:col>16</xdr:col>
      <xdr:colOff>396875</xdr:colOff>
      <xdr:row>4</xdr:row>
      <xdr:rowOff>302309</xdr:rowOff>
    </xdr:to>
    <xdr:pic>
      <xdr:nvPicPr>
        <xdr:cNvPr id="5140"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3650" y="0"/>
          <a:ext cx="2657475" cy="1794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301625</xdr:colOff>
      <xdr:row>0</xdr:row>
      <xdr:rowOff>1</xdr:rowOff>
    </xdr:from>
    <xdr:to>
      <xdr:col>16</xdr:col>
      <xdr:colOff>676275</xdr:colOff>
      <xdr:row>4</xdr:row>
      <xdr:rowOff>320383</xdr:rowOff>
    </xdr:to>
    <xdr:pic>
      <xdr:nvPicPr>
        <xdr:cNvPr id="6164"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4000" y="1"/>
          <a:ext cx="2676525" cy="1812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uld/Desktop/&#20445;&#32946;&#22290;/&#32102;&#39135;/2019/03/kondate_2019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おやつ)"/>
      <sheetName val="3月1日(金)"/>
      <sheetName val="3月4日(月)"/>
      <sheetName val="3月5日(火)"/>
      <sheetName val="3月6日(水)"/>
      <sheetName val="3月7日(木)"/>
      <sheetName val="3月8日(金)"/>
      <sheetName val="3月11日(月)"/>
      <sheetName val="3月12日(火)"/>
      <sheetName val="3月13日(水)"/>
      <sheetName val="3月14日(木)"/>
      <sheetName val="3月15日(金)"/>
      <sheetName val="3月18日(月)"/>
      <sheetName val="3月19日(火)"/>
      <sheetName val="3月20日(水)"/>
      <sheetName val="3月22日(金)"/>
      <sheetName val="3月25日(月)"/>
      <sheetName val="3月26日(火)"/>
      <sheetName val="3月27日(水)"/>
      <sheetName val="3月28日(木)"/>
      <sheetName val="3月29日(金)"/>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
  <sheetViews>
    <sheetView tabSelected="1" view="pageBreakPreview" zoomScale="60" zoomScaleNormal="90" workbookViewId="0"/>
  </sheetViews>
  <sheetFormatPr defaultRowHeight="13.5"/>
  <cols>
    <col min="1" max="1" width="4.5" style="90" bestFit="1" customWidth="1"/>
    <col min="2" max="2" width="3.375" style="91" bestFit="1" customWidth="1"/>
    <col min="3" max="3" width="26.625" style="91" customWidth="1"/>
    <col min="4" max="6" width="16.125" style="91" customWidth="1"/>
    <col min="7" max="7" width="4.375" style="91" hidden="1" customWidth="1"/>
    <col min="8" max="8" width="5.125" style="92" hidden="1" customWidth="1"/>
    <col min="9" max="9" width="4.125" style="91" hidden="1" customWidth="1"/>
    <col min="10" max="10" width="10.625" style="91" hidden="1" customWidth="1"/>
    <col min="11" max="11" width="5.125" style="92" customWidth="1"/>
    <col min="12" max="12" width="4.125" style="91" bestFit="1" customWidth="1"/>
    <col min="13" max="13" width="10.625" style="91" customWidth="1"/>
    <col min="14" max="14" width="15.625" style="91" customWidth="1"/>
    <col min="15" max="15" width="2.375" style="91" customWidth="1"/>
    <col min="16" max="16" width="4.5" style="151" bestFit="1" customWidth="1"/>
    <col min="17" max="17" width="3.375" style="91" bestFit="1" customWidth="1"/>
    <col min="18" max="18" width="26.625" style="91" customWidth="1"/>
    <col min="19" max="21" width="16.125" style="91" customWidth="1"/>
    <col min="22" max="22" width="0.875" style="91" hidden="1" customWidth="1"/>
    <col min="23" max="23" width="5.125" style="92" hidden="1" customWidth="1"/>
    <col min="24" max="24" width="4.125" style="91" hidden="1" customWidth="1"/>
    <col min="25" max="25" width="10.625" style="91" hidden="1" customWidth="1"/>
    <col min="26" max="26" width="5.125" style="92" customWidth="1"/>
    <col min="27" max="27" width="4.125" style="91" bestFit="1" customWidth="1"/>
    <col min="28" max="28" width="10.625" style="91" customWidth="1"/>
    <col min="29" max="29" width="15.625" style="91" customWidth="1"/>
    <col min="30" max="16384" width="9" style="91"/>
  </cols>
  <sheetData>
    <row r="1" spans="1:29" ht="33.75" customHeight="1">
      <c r="P1" s="90"/>
    </row>
    <row r="2" spans="1:29" s="90" customFormat="1" ht="12" customHeight="1">
      <c r="A2" s="160" t="s">
        <v>329</v>
      </c>
      <c r="B2" s="161" t="s">
        <v>273</v>
      </c>
      <c r="C2" s="162"/>
      <c r="D2" s="163" t="s">
        <v>274</v>
      </c>
      <c r="E2" s="163"/>
      <c r="F2" s="163"/>
      <c r="G2" s="93"/>
      <c r="H2" s="164" t="s">
        <v>275</v>
      </c>
      <c r="I2" s="165"/>
      <c r="J2" s="166"/>
      <c r="K2" s="164" t="s">
        <v>276</v>
      </c>
      <c r="L2" s="165"/>
      <c r="M2" s="166"/>
      <c r="N2" s="94"/>
      <c r="O2" s="95"/>
      <c r="P2" s="160" t="s">
        <v>329</v>
      </c>
      <c r="Q2" s="161" t="s">
        <v>273</v>
      </c>
      <c r="R2" s="183"/>
      <c r="S2" s="163" t="s">
        <v>274</v>
      </c>
      <c r="T2" s="163"/>
      <c r="U2" s="163"/>
      <c r="V2" s="93"/>
      <c r="W2" s="164" t="s">
        <v>275</v>
      </c>
      <c r="X2" s="165"/>
      <c r="Y2" s="166"/>
      <c r="Z2" s="164" t="s">
        <v>276</v>
      </c>
      <c r="AA2" s="165"/>
      <c r="AB2" s="166"/>
      <c r="AC2" s="94"/>
    </row>
    <row r="3" spans="1:29" s="90" customFormat="1" ht="12" customHeight="1">
      <c r="A3" s="160"/>
      <c r="B3" s="161"/>
      <c r="C3" s="162"/>
      <c r="D3" s="167" t="s">
        <v>277</v>
      </c>
      <c r="E3" s="168" t="s">
        <v>278</v>
      </c>
      <c r="F3" s="169" t="s">
        <v>279</v>
      </c>
      <c r="G3" s="170"/>
      <c r="H3" s="154" t="s">
        <v>330</v>
      </c>
      <c r="I3" s="155"/>
      <c r="J3" s="158" t="s">
        <v>280</v>
      </c>
      <c r="K3" s="154" t="s">
        <v>330</v>
      </c>
      <c r="L3" s="155"/>
      <c r="M3" s="158" t="s">
        <v>280</v>
      </c>
      <c r="N3" s="174" t="s">
        <v>331</v>
      </c>
      <c r="O3" s="96"/>
      <c r="P3" s="160"/>
      <c r="Q3" s="161"/>
      <c r="R3" s="183"/>
      <c r="S3" s="167" t="s">
        <v>277</v>
      </c>
      <c r="T3" s="168" t="s">
        <v>278</v>
      </c>
      <c r="U3" s="169" t="s">
        <v>279</v>
      </c>
      <c r="V3" s="170"/>
      <c r="W3" s="154" t="s">
        <v>330</v>
      </c>
      <c r="X3" s="155"/>
      <c r="Y3" s="158" t="s">
        <v>280</v>
      </c>
      <c r="Z3" s="154" t="s">
        <v>330</v>
      </c>
      <c r="AA3" s="155"/>
      <c r="AB3" s="158" t="s">
        <v>280</v>
      </c>
      <c r="AC3" s="174" t="s">
        <v>331</v>
      </c>
    </row>
    <row r="4" spans="1:29" s="90" customFormat="1" ht="12" customHeight="1">
      <c r="A4" s="160"/>
      <c r="B4" s="161"/>
      <c r="C4" s="162"/>
      <c r="D4" s="167"/>
      <c r="E4" s="168"/>
      <c r="F4" s="169"/>
      <c r="G4" s="170"/>
      <c r="H4" s="154"/>
      <c r="I4" s="155"/>
      <c r="J4" s="158"/>
      <c r="K4" s="154"/>
      <c r="L4" s="155"/>
      <c r="M4" s="158"/>
      <c r="N4" s="175"/>
      <c r="O4" s="96"/>
      <c r="P4" s="160"/>
      <c r="Q4" s="161"/>
      <c r="R4" s="183"/>
      <c r="S4" s="167"/>
      <c r="T4" s="168"/>
      <c r="U4" s="169"/>
      <c r="V4" s="170"/>
      <c r="W4" s="154"/>
      <c r="X4" s="155"/>
      <c r="Y4" s="158"/>
      <c r="Z4" s="154"/>
      <c r="AA4" s="155"/>
      <c r="AB4" s="158"/>
      <c r="AC4" s="175"/>
    </row>
    <row r="5" spans="1:29" s="90" customFormat="1" ht="12" customHeight="1">
      <c r="A5" s="160"/>
      <c r="B5" s="161"/>
      <c r="C5" s="162"/>
      <c r="D5" s="167"/>
      <c r="E5" s="168"/>
      <c r="F5" s="169"/>
      <c r="G5" s="170"/>
      <c r="H5" s="154"/>
      <c r="I5" s="155"/>
      <c r="J5" s="158"/>
      <c r="K5" s="154"/>
      <c r="L5" s="155"/>
      <c r="M5" s="158"/>
      <c r="N5" s="175"/>
      <c r="O5" s="96"/>
      <c r="P5" s="160"/>
      <c r="Q5" s="161"/>
      <c r="R5" s="183"/>
      <c r="S5" s="167"/>
      <c r="T5" s="168"/>
      <c r="U5" s="169"/>
      <c r="V5" s="170"/>
      <c r="W5" s="154"/>
      <c r="X5" s="155"/>
      <c r="Y5" s="158"/>
      <c r="Z5" s="154"/>
      <c r="AA5" s="155"/>
      <c r="AB5" s="158"/>
      <c r="AC5" s="175"/>
    </row>
    <row r="6" spans="1:29" s="90" customFormat="1" ht="12" customHeight="1">
      <c r="A6" s="160"/>
      <c r="B6" s="161"/>
      <c r="C6" s="162"/>
      <c r="D6" s="167"/>
      <c r="E6" s="168"/>
      <c r="F6" s="169"/>
      <c r="G6" s="170"/>
      <c r="H6" s="156"/>
      <c r="I6" s="157"/>
      <c r="J6" s="159"/>
      <c r="K6" s="156"/>
      <c r="L6" s="157"/>
      <c r="M6" s="159"/>
      <c r="N6" s="176"/>
      <c r="O6" s="96"/>
      <c r="P6" s="160"/>
      <c r="Q6" s="161"/>
      <c r="R6" s="183"/>
      <c r="S6" s="167"/>
      <c r="T6" s="168"/>
      <c r="U6" s="169"/>
      <c r="V6" s="170"/>
      <c r="W6" s="156"/>
      <c r="X6" s="157"/>
      <c r="Y6" s="159"/>
      <c r="Z6" s="156"/>
      <c r="AA6" s="157"/>
      <c r="AB6" s="159"/>
      <c r="AC6" s="176"/>
    </row>
    <row r="7" spans="1:29" ht="12.75" customHeight="1">
      <c r="A7" s="177">
        <v>2</v>
      </c>
      <c r="B7" s="178" t="s">
        <v>281</v>
      </c>
      <c r="C7" s="97" t="s">
        <v>62</v>
      </c>
      <c r="D7" s="179" t="s">
        <v>332</v>
      </c>
      <c r="E7" s="179" t="s">
        <v>333</v>
      </c>
      <c r="F7" s="179" t="s">
        <v>334</v>
      </c>
      <c r="G7" s="98"/>
      <c r="H7" s="99">
        <v>387</v>
      </c>
      <c r="I7" s="100" t="s">
        <v>284</v>
      </c>
      <c r="J7" s="171" t="s">
        <v>285</v>
      </c>
      <c r="K7" s="99">
        <f>387*0.75</f>
        <v>290.25</v>
      </c>
      <c r="L7" s="100" t="s">
        <v>284</v>
      </c>
      <c r="M7" s="171" t="s">
        <v>285</v>
      </c>
      <c r="N7" s="101" t="s">
        <v>39</v>
      </c>
      <c r="O7" s="106"/>
      <c r="P7" s="181">
        <v>16</v>
      </c>
      <c r="Q7" s="181" t="s">
        <v>281</v>
      </c>
      <c r="R7" s="97" t="s">
        <v>62</v>
      </c>
      <c r="S7" s="179" t="s">
        <v>335</v>
      </c>
      <c r="T7" s="179" t="s">
        <v>282</v>
      </c>
      <c r="U7" s="179" t="s">
        <v>283</v>
      </c>
      <c r="V7" s="98"/>
      <c r="W7" s="102">
        <v>387</v>
      </c>
      <c r="X7" s="103" t="s">
        <v>336</v>
      </c>
      <c r="Y7" s="171" t="s">
        <v>285</v>
      </c>
      <c r="Z7" s="102">
        <f>387*0.75</f>
        <v>290.25</v>
      </c>
      <c r="AA7" s="103" t="s">
        <v>337</v>
      </c>
      <c r="AB7" s="171" t="s">
        <v>285</v>
      </c>
      <c r="AC7" s="101" t="s">
        <v>39</v>
      </c>
    </row>
    <row r="8" spans="1:29" ht="12.75" customHeight="1">
      <c r="A8" s="177"/>
      <c r="B8" s="178"/>
      <c r="C8" s="104" t="s">
        <v>69</v>
      </c>
      <c r="D8" s="180"/>
      <c r="E8" s="180"/>
      <c r="F8" s="179"/>
      <c r="G8" s="98"/>
      <c r="H8" s="105">
        <v>15.8</v>
      </c>
      <c r="I8" s="104" t="s">
        <v>338</v>
      </c>
      <c r="J8" s="172"/>
      <c r="K8" s="105">
        <f>15.8*0.75</f>
        <v>11.850000000000001</v>
      </c>
      <c r="L8" s="104" t="s">
        <v>338</v>
      </c>
      <c r="M8" s="172"/>
      <c r="N8" s="107" t="s">
        <v>339</v>
      </c>
      <c r="O8" s="106"/>
      <c r="P8" s="182"/>
      <c r="Q8" s="181"/>
      <c r="R8" s="104" t="s">
        <v>69</v>
      </c>
      <c r="S8" s="180"/>
      <c r="T8" s="180"/>
      <c r="U8" s="179"/>
      <c r="V8" s="98"/>
      <c r="W8" s="105">
        <v>15.8</v>
      </c>
      <c r="X8" s="108" t="s">
        <v>338</v>
      </c>
      <c r="Y8" s="172"/>
      <c r="Z8" s="105">
        <f>15.8*0.75</f>
        <v>11.850000000000001</v>
      </c>
      <c r="AA8" s="108" t="s">
        <v>338</v>
      </c>
      <c r="AB8" s="172"/>
      <c r="AC8" s="107" t="s">
        <v>340</v>
      </c>
    </row>
    <row r="9" spans="1:29" ht="12.75" customHeight="1">
      <c r="A9" s="177"/>
      <c r="B9" s="178"/>
      <c r="C9" s="104" t="s">
        <v>76</v>
      </c>
      <c r="D9" s="180"/>
      <c r="E9" s="180"/>
      <c r="F9" s="179"/>
      <c r="G9" s="98"/>
      <c r="H9" s="105">
        <v>15.5</v>
      </c>
      <c r="I9" s="104" t="s">
        <v>338</v>
      </c>
      <c r="J9" s="172"/>
      <c r="K9" s="105">
        <f>15.5*0.75</f>
        <v>11.625</v>
      </c>
      <c r="L9" s="104" t="s">
        <v>338</v>
      </c>
      <c r="M9" s="172"/>
      <c r="N9" s="107"/>
      <c r="O9" s="106"/>
      <c r="P9" s="182"/>
      <c r="Q9" s="181"/>
      <c r="R9" s="104" t="s">
        <v>76</v>
      </c>
      <c r="S9" s="180"/>
      <c r="T9" s="180"/>
      <c r="U9" s="179"/>
      <c r="V9" s="98"/>
      <c r="W9" s="105">
        <v>15.5</v>
      </c>
      <c r="X9" s="108" t="s">
        <v>338</v>
      </c>
      <c r="Y9" s="172"/>
      <c r="Z9" s="105">
        <f>15.5*0.75</f>
        <v>11.625</v>
      </c>
      <c r="AA9" s="108" t="s">
        <v>338</v>
      </c>
      <c r="AB9" s="172"/>
      <c r="AC9" s="107"/>
    </row>
    <row r="10" spans="1:29" ht="12.75" customHeight="1">
      <c r="A10" s="177"/>
      <c r="B10" s="178"/>
      <c r="C10" s="104"/>
      <c r="D10" s="180"/>
      <c r="E10" s="180"/>
      <c r="F10" s="179"/>
      <c r="G10" s="98"/>
      <c r="H10" s="105">
        <v>44</v>
      </c>
      <c r="I10" s="104" t="s">
        <v>338</v>
      </c>
      <c r="J10" s="172"/>
      <c r="K10" s="105">
        <f>44*0.75</f>
        <v>33</v>
      </c>
      <c r="L10" s="104" t="s">
        <v>341</v>
      </c>
      <c r="M10" s="172"/>
      <c r="N10" s="107"/>
      <c r="O10" s="106"/>
      <c r="P10" s="182"/>
      <c r="Q10" s="181"/>
      <c r="R10" s="104"/>
      <c r="S10" s="180"/>
      <c r="T10" s="180"/>
      <c r="U10" s="179"/>
      <c r="V10" s="98"/>
      <c r="W10" s="105">
        <v>44</v>
      </c>
      <c r="X10" s="108" t="s">
        <v>341</v>
      </c>
      <c r="Y10" s="172"/>
      <c r="Z10" s="105">
        <f>44*0.75</f>
        <v>33</v>
      </c>
      <c r="AA10" s="108" t="s">
        <v>341</v>
      </c>
      <c r="AB10" s="172"/>
      <c r="AC10" s="107"/>
    </row>
    <row r="11" spans="1:29" ht="12.75" customHeight="1">
      <c r="A11" s="177"/>
      <c r="B11" s="178"/>
      <c r="C11" s="109"/>
      <c r="D11" s="180"/>
      <c r="E11" s="180"/>
      <c r="F11" s="179"/>
      <c r="G11" s="98"/>
      <c r="H11" s="110">
        <v>1.1000000000000001</v>
      </c>
      <c r="I11" s="109" t="s">
        <v>342</v>
      </c>
      <c r="J11" s="173"/>
      <c r="K11" s="110">
        <f>1.1*0.75</f>
        <v>0.82500000000000007</v>
      </c>
      <c r="L11" s="109" t="s">
        <v>342</v>
      </c>
      <c r="M11" s="173"/>
      <c r="N11" s="111"/>
      <c r="O11" s="106"/>
      <c r="P11" s="182"/>
      <c r="Q11" s="181"/>
      <c r="R11" s="109"/>
      <c r="S11" s="180"/>
      <c r="T11" s="180"/>
      <c r="U11" s="179"/>
      <c r="V11" s="98"/>
      <c r="W11" s="110">
        <v>1.1000000000000001</v>
      </c>
      <c r="X11" s="112" t="s">
        <v>341</v>
      </c>
      <c r="Y11" s="173"/>
      <c r="Z11" s="110">
        <f>1.1*0.75</f>
        <v>0.82500000000000007</v>
      </c>
      <c r="AA11" s="112" t="s">
        <v>341</v>
      </c>
      <c r="AB11" s="173"/>
      <c r="AC11" s="111"/>
    </row>
    <row r="12" spans="1:29" ht="12.75" customHeight="1">
      <c r="A12" s="185" t="s">
        <v>289</v>
      </c>
      <c r="B12" s="187" t="s">
        <v>290</v>
      </c>
      <c r="C12" s="100" t="s">
        <v>343</v>
      </c>
      <c r="D12" s="179" t="s">
        <v>344</v>
      </c>
      <c r="E12" s="179" t="s">
        <v>345</v>
      </c>
      <c r="F12" s="179" t="s">
        <v>346</v>
      </c>
      <c r="G12" s="98"/>
      <c r="H12" s="99">
        <v>397</v>
      </c>
      <c r="I12" s="103" t="s">
        <v>347</v>
      </c>
      <c r="J12" s="171" t="s">
        <v>149</v>
      </c>
      <c r="K12" s="99">
        <f>397*0.75</f>
        <v>297.75</v>
      </c>
      <c r="L12" s="103" t="s">
        <v>347</v>
      </c>
      <c r="M12" s="171" t="s">
        <v>149</v>
      </c>
      <c r="N12" s="101" t="s">
        <v>39</v>
      </c>
      <c r="O12" s="106"/>
      <c r="P12" s="181">
        <v>17</v>
      </c>
      <c r="Q12" s="181" t="s">
        <v>291</v>
      </c>
      <c r="R12" s="100" t="s">
        <v>431</v>
      </c>
      <c r="S12" s="179"/>
      <c r="T12" s="179"/>
      <c r="U12" s="179"/>
      <c r="V12" s="98"/>
      <c r="W12" s="99">
        <v>435</v>
      </c>
      <c r="X12" s="100" t="s">
        <v>284</v>
      </c>
      <c r="Y12" s="171" t="s">
        <v>149</v>
      </c>
      <c r="Z12" s="99"/>
      <c r="AA12" s="100" t="s">
        <v>284</v>
      </c>
      <c r="AB12" s="171"/>
      <c r="AC12" s="101" t="s">
        <v>39</v>
      </c>
    </row>
    <row r="13" spans="1:29" ht="12.75" customHeight="1">
      <c r="A13" s="186"/>
      <c r="B13" s="187"/>
      <c r="C13" s="113" t="s">
        <v>101</v>
      </c>
      <c r="D13" s="179"/>
      <c r="E13" s="179"/>
      <c r="F13" s="179"/>
      <c r="G13" s="98"/>
      <c r="H13" s="105">
        <v>13.699999999999998</v>
      </c>
      <c r="I13" s="104" t="s">
        <v>348</v>
      </c>
      <c r="J13" s="172"/>
      <c r="K13" s="105">
        <f>13.7*0.75</f>
        <v>10.274999999999999</v>
      </c>
      <c r="L13" s="104" t="s">
        <v>348</v>
      </c>
      <c r="M13" s="172"/>
      <c r="N13" s="107" t="s">
        <v>349</v>
      </c>
      <c r="O13" s="106"/>
      <c r="P13" s="181"/>
      <c r="Q13" s="181"/>
      <c r="R13" s="113" t="s">
        <v>421</v>
      </c>
      <c r="S13" s="179"/>
      <c r="T13" s="179"/>
      <c r="U13" s="179"/>
      <c r="V13" s="98"/>
      <c r="W13" s="105">
        <v>14.899999999999997</v>
      </c>
      <c r="X13" s="104" t="s">
        <v>348</v>
      </c>
      <c r="Y13" s="172"/>
      <c r="Z13" s="105"/>
      <c r="AA13" s="104" t="s">
        <v>348</v>
      </c>
      <c r="AB13" s="172"/>
      <c r="AC13" s="107" t="s">
        <v>350</v>
      </c>
    </row>
    <row r="14" spans="1:29" ht="12.75" customHeight="1">
      <c r="A14" s="186"/>
      <c r="B14" s="187"/>
      <c r="C14" s="104" t="s">
        <v>35</v>
      </c>
      <c r="D14" s="179"/>
      <c r="E14" s="179"/>
      <c r="F14" s="179"/>
      <c r="G14" s="98"/>
      <c r="H14" s="105">
        <v>12.1</v>
      </c>
      <c r="I14" s="104" t="s">
        <v>348</v>
      </c>
      <c r="J14" s="172"/>
      <c r="K14" s="105">
        <f>12.1*0.75</f>
        <v>9.0749999999999993</v>
      </c>
      <c r="L14" s="104" t="s">
        <v>348</v>
      </c>
      <c r="M14" s="172"/>
      <c r="N14" s="107" t="s">
        <v>351</v>
      </c>
      <c r="O14" s="106"/>
      <c r="P14" s="181"/>
      <c r="Q14" s="181"/>
      <c r="R14" s="104" t="s">
        <v>422</v>
      </c>
      <c r="S14" s="179"/>
      <c r="T14" s="179"/>
      <c r="U14" s="179"/>
      <c r="V14" s="98"/>
      <c r="W14" s="105">
        <v>16.8</v>
      </c>
      <c r="X14" s="104" t="s">
        <v>348</v>
      </c>
      <c r="Y14" s="172"/>
      <c r="Z14" s="105"/>
      <c r="AA14" s="104" t="s">
        <v>348</v>
      </c>
      <c r="AB14" s="172"/>
      <c r="AC14" s="107"/>
    </row>
    <row r="15" spans="1:29" ht="12.75" customHeight="1">
      <c r="A15" s="186"/>
      <c r="B15" s="187"/>
      <c r="C15" s="104" t="s">
        <v>108</v>
      </c>
      <c r="D15" s="179"/>
      <c r="E15" s="179"/>
      <c r="F15" s="179"/>
      <c r="G15" s="98"/>
      <c r="H15" s="105">
        <v>56.000000000000007</v>
      </c>
      <c r="I15" s="104" t="s">
        <v>348</v>
      </c>
      <c r="J15" s="172"/>
      <c r="K15" s="105">
        <f>56*0.75</f>
        <v>42</v>
      </c>
      <c r="L15" s="104" t="s">
        <v>287</v>
      </c>
      <c r="M15" s="172"/>
      <c r="N15" s="107"/>
      <c r="O15" s="106"/>
      <c r="P15" s="181"/>
      <c r="Q15" s="181"/>
      <c r="R15" s="104" t="s">
        <v>423</v>
      </c>
      <c r="S15" s="179"/>
      <c r="T15" s="179"/>
      <c r="U15" s="179"/>
      <c r="V15" s="98"/>
      <c r="W15" s="105">
        <v>51.600000000000016</v>
      </c>
      <c r="X15" s="104" t="s">
        <v>287</v>
      </c>
      <c r="Y15" s="172"/>
      <c r="Z15" s="105"/>
      <c r="AA15" s="104" t="s">
        <v>287</v>
      </c>
      <c r="AB15" s="172"/>
      <c r="AC15" s="107"/>
    </row>
    <row r="16" spans="1:29" ht="12.75" customHeight="1">
      <c r="A16" s="186"/>
      <c r="B16" s="187"/>
      <c r="C16" s="109"/>
      <c r="D16" s="179"/>
      <c r="E16" s="179"/>
      <c r="F16" s="179"/>
      <c r="G16" s="98"/>
      <c r="H16" s="110">
        <v>1.1000000000000001</v>
      </c>
      <c r="I16" s="109" t="s">
        <v>287</v>
      </c>
      <c r="J16" s="173"/>
      <c r="K16" s="110">
        <f>1.1*0.75</f>
        <v>0.82500000000000007</v>
      </c>
      <c r="L16" s="109" t="s">
        <v>287</v>
      </c>
      <c r="M16" s="173"/>
      <c r="N16" s="111" t="s">
        <v>352</v>
      </c>
      <c r="O16" s="106"/>
      <c r="P16" s="181"/>
      <c r="Q16" s="181"/>
      <c r="R16" s="109"/>
      <c r="S16" s="179"/>
      <c r="T16" s="179"/>
      <c r="U16" s="179"/>
      <c r="V16" s="98"/>
      <c r="W16" s="110">
        <v>1.1000000000000001</v>
      </c>
      <c r="X16" s="109" t="s">
        <v>288</v>
      </c>
      <c r="Y16" s="173"/>
      <c r="Z16" s="110"/>
      <c r="AA16" s="109" t="s">
        <v>288</v>
      </c>
      <c r="AB16" s="173"/>
      <c r="AC16" s="111" t="s">
        <v>353</v>
      </c>
    </row>
    <row r="17" spans="1:29" ht="12.75" customHeight="1">
      <c r="A17" s="177">
        <v>4</v>
      </c>
      <c r="B17" s="178" t="s">
        <v>46</v>
      </c>
      <c r="C17" s="100" t="s">
        <v>13</v>
      </c>
      <c r="D17" s="179" t="s">
        <v>293</v>
      </c>
      <c r="E17" s="179" t="s">
        <v>354</v>
      </c>
      <c r="F17" s="179" t="s">
        <v>355</v>
      </c>
      <c r="G17" s="98"/>
      <c r="H17" s="99">
        <v>417</v>
      </c>
      <c r="I17" s="103" t="s">
        <v>286</v>
      </c>
      <c r="J17" s="171" t="s">
        <v>82</v>
      </c>
      <c r="K17" s="99">
        <f>417*0.75</f>
        <v>312.75</v>
      </c>
      <c r="L17" s="103" t="s">
        <v>286</v>
      </c>
      <c r="M17" s="171" t="s">
        <v>82</v>
      </c>
      <c r="N17" s="101" t="s">
        <v>39</v>
      </c>
      <c r="O17" s="106"/>
      <c r="P17" s="177">
        <v>18</v>
      </c>
      <c r="Q17" s="178" t="s">
        <v>46</v>
      </c>
      <c r="R17" s="100" t="s">
        <v>13</v>
      </c>
      <c r="S17" s="179" t="s">
        <v>293</v>
      </c>
      <c r="T17" s="179" t="s">
        <v>354</v>
      </c>
      <c r="U17" s="179" t="s">
        <v>355</v>
      </c>
      <c r="V17" s="98"/>
      <c r="W17" s="99">
        <v>417</v>
      </c>
      <c r="X17" s="103" t="s">
        <v>286</v>
      </c>
      <c r="Y17" s="171" t="s">
        <v>82</v>
      </c>
      <c r="Z17" s="99">
        <f>417*0.75</f>
        <v>312.75</v>
      </c>
      <c r="AA17" s="103" t="s">
        <v>286</v>
      </c>
      <c r="AB17" s="171" t="s">
        <v>82</v>
      </c>
      <c r="AC17" s="101" t="s">
        <v>39</v>
      </c>
    </row>
    <row r="18" spans="1:29" ht="12.75" customHeight="1">
      <c r="A18" s="184"/>
      <c r="B18" s="178"/>
      <c r="C18" s="114" t="s">
        <v>116</v>
      </c>
      <c r="D18" s="179"/>
      <c r="E18" s="179"/>
      <c r="F18" s="179"/>
      <c r="G18" s="98"/>
      <c r="H18" s="105">
        <v>14.799999999999997</v>
      </c>
      <c r="I18" s="104" t="s">
        <v>287</v>
      </c>
      <c r="J18" s="172"/>
      <c r="K18" s="105">
        <f>14.8*0.75</f>
        <v>11.100000000000001</v>
      </c>
      <c r="L18" s="104" t="s">
        <v>287</v>
      </c>
      <c r="M18" s="172"/>
      <c r="N18" s="107" t="s">
        <v>356</v>
      </c>
      <c r="O18" s="106"/>
      <c r="P18" s="184"/>
      <c r="Q18" s="178"/>
      <c r="R18" s="114" t="s">
        <v>116</v>
      </c>
      <c r="S18" s="179"/>
      <c r="T18" s="179"/>
      <c r="U18" s="179"/>
      <c r="V18" s="98"/>
      <c r="W18" s="105">
        <v>14.799999999999997</v>
      </c>
      <c r="X18" s="104" t="s">
        <v>287</v>
      </c>
      <c r="Y18" s="172"/>
      <c r="Z18" s="105">
        <f>14.8*0.75</f>
        <v>11.100000000000001</v>
      </c>
      <c r="AA18" s="104" t="s">
        <v>287</v>
      </c>
      <c r="AB18" s="172"/>
      <c r="AC18" s="107" t="s">
        <v>356</v>
      </c>
    </row>
    <row r="19" spans="1:29" ht="12.75" customHeight="1">
      <c r="A19" s="184"/>
      <c r="B19" s="178"/>
      <c r="C19" s="104" t="s">
        <v>121</v>
      </c>
      <c r="D19" s="179"/>
      <c r="E19" s="179"/>
      <c r="F19" s="179"/>
      <c r="G19" s="98"/>
      <c r="H19" s="105">
        <v>13.599999999999998</v>
      </c>
      <c r="I19" s="104" t="s">
        <v>287</v>
      </c>
      <c r="J19" s="172"/>
      <c r="K19" s="105">
        <f>13.6*0.75</f>
        <v>10.199999999999999</v>
      </c>
      <c r="L19" s="104" t="s">
        <v>287</v>
      </c>
      <c r="M19" s="172"/>
      <c r="N19" s="107"/>
      <c r="O19" s="106"/>
      <c r="P19" s="184"/>
      <c r="Q19" s="178"/>
      <c r="R19" s="104" t="s">
        <v>121</v>
      </c>
      <c r="S19" s="179"/>
      <c r="T19" s="179"/>
      <c r="U19" s="179"/>
      <c r="V19" s="98"/>
      <c r="W19" s="105">
        <v>13.599999999999998</v>
      </c>
      <c r="X19" s="104" t="s">
        <v>287</v>
      </c>
      <c r="Y19" s="172"/>
      <c r="Z19" s="105">
        <f>13.6*0.75</f>
        <v>10.199999999999999</v>
      </c>
      <c r="AA19" s="104" t="s">
        <v>287</v>
      </c>
      <c r="AB19" s="172"/>
      <c r="AC19" s="107"/>
    </row>
    <row r="20" spans="1:29" ht="12.75" customHeight="1">
      <c r="A20" s="184"/>
      <c r="B20" s="178"/>
      <c r="C20" s="104" t="s">
        <v>55</v>
      </c>
      <c r="D20" s="179"/>
      <c r="E20" s="179"/>
      <c r="F20" s="179"/>
      <c r="G20" s="98"/>
      <c r="H20" s="105">
        <v>58.000000000000007</v>
      </c>
      <c r="I20" s="104" t="s">
        <v>287</v>
      </c>
      <c r="J20" s="172"/>
      <c r="K20" s="105">
        <f>58*0.75</f>
        <v>43.5</v>
      </c>
      <c r="L20" s="104" t="s">
        <v>287</v>
      </c>
      <c r="M20" s="172"/>
      <c r="N20" s="107"/>
      <c r="O20" s="106"/>
      <c r="P20" s="184"/>
      <c r="Q20" s="178"/>
      <c r="R20" s="104" t="s">
        <v>55</v>
      </c>
      <c r="S20" s="179"/>
      <c r="T20" s="179"/>
      <c r="U20" s="179"/>
      <c r="V20" s="98"/>
      <c r="W20" s="105">
        <v>58.000000000000007</v>
      </c>
      <c r="X20" s="104" t="s">
        <v>287</v>
      </c>
      <c r="Y20" s="172"/>
      <c r="Z20" s="105">
        <f>58*0.75</f>
        <v>43.5</v>
      </c>
      <c r="AA20" s="104" t="s">
        <v>287</v>
      </c>
      <c r="AB20" s="172"/>
      <c r="AC20" s="107"/>
    </row>
    <row r="21" spans="1:29" ht="12.75" customHeight="1">
      <c r="A21" s="184"/>
      <c r="B21" s="178"/>
      <c r="C21" s="109" t="s">
        <v>126</v>
      </c>
      <c r="D21" s="179"/>
      <c r="E21" s="179"/>
      <c r="F21" s="179"/>
      <c r="G21" s="98"/>
      <c r="H21" s="110">
        <v>0.9</v>
      </c>
      <c r="I21" s="109" t="s">
        <v>287</v>
      </c>
      <c r="J21" s="173"/>
      <c r="K21" s="110">
        <f>0.9*0.75</f>
        <v>0.67500000000000004</v>
      </c>
      <c r="L21" s="109" t="s">
        <v>287</v>
      </c>
      <c r="M21" s="173"/>
      <c r="N21" s="111"/>
      <c r="O21" s="106"/>
      <c r="P21" s="184"/>
      <c r="Q21" s="178"/>
      <c r="R21" s="109" t="s">
        <v>126</v>
      </c>
      <c r="S21" s="179"/>
      <c r="T21" s="179"/>
      <c r="U21" s="179"/>
      <c r="V21" s="98"/>
      <c r="W21" s="110">
        <v>0.9</v>
      </c>
      <c r="X21" s="109" t="s">
        <v>287</v>
      </c>
      <c r="Y21" s="173"/>
      <c r="Z21" s="110">
        <f>0.9*0.75</f>
        <v>0.67500000000000004</v>
      </c>
      <c r="AA21" s="109" t="s">
        <v>287</v>
      </c>
      <c r="AB21" s="173"/>
      <c r="AC21" s="111"/>
    </row>
    <row r="22" spans="1:29" ht="12.75" customHeight="1">
      <c r="A22" s="177">
        <v>5</v>
      </c>
      <c r="B22" s="178" t="s">
        <v>294</v>
      </c>
      <c r="C22" s="100" t="s">
        <v>13</v>
      </c>
      <c r="D22" s="179" t="s">
        <v>357</v>
      </c>
      <c r="E22" s="179" t="s">
        <v>358</v>
      </c>
      <c r="F22" s="179" t="s">
        <v>359</v>
      </c>
      <c r="G22" s="98"/>
      <c r="H22" s="99">
        <v>431</v>
      </c>
      <c r="I22" s="103" t="s">
        <v>286</v>
      </c>
      <c r="J22" s="171" t="s">
        <v>149</v>
      </c>
      <c r="K22" s="99">
        <f>431*0.75</f>
        <v>323.25</v>
      </c>
      <c r="L22" s="103" t="s">
        <v>286</v>
      </c>
      <c r="M22" s="171" t="s">
        <v>149</v>
      </c>
      <c r="N22" s="101" t="s">
        <v>39</v>
      </c>
      <c r="O22" s="106"/>
      <c r="P22" s="181">
        <v>19</v>
      </c>
      <c r="Q22" s="181" t="s">
        <v>294</v>
      </c>
      <c r="R22" s="100" t="s">
        <v>13</v>
      </c>
      <c r="S22" s="179" t="s">
        <v>360</v>
      </c>
      <c r="T22" s="179" t="s">
        <v>358</v>
      </c>
      <c r="U22" s="179" t="s">
        <v>295</v>
      </c>
      <c r="V22" s="98"/>
      <c r="W22" s="99">
        <v>431</v>
      </c>
      <c r="X22" s="103" t="s">
        <v>286</v>
      </c>
      <c r="Y22" s="171" t="s">
        <v>149</v>
      </c>
      <c r="Z22" s="99">
        <f>431*0.75</f>
        <v>323.25</v>
      </c>
      <c r="AA22" s="103" t="s">
        <v>361</v>
      </c>
      <c r="AB22" s="171" t="s">
        <v>149</v>
      </c>
      <c r="AC22" s="101" t="s">
        <v>39</v>
      </c>
    </row>
    <row r="23" spans="1:29" ht="12.75" customHeight="1">
      <c r="A23" s="184"/>
      <c r="B23" s="178"/>
      <c r="C23" s="113" t="s">
        <v>135</v>
      </c>
      <c r="D23" s="179"/>
      <c r="E23" s="179"/>
      <c r="F23" s="179"/>
      <c r="G23" s="98"/>
      <c r="H23" s="105">
        <v>14.399999999999997</v>
      </c>
      <c r="I23" s="104" t="s">
        <v>362</v>
      </c>
      <c r="J23" s="172"/>
      <c r="K23" s="105">
        <f>14.4*0.75</f>
        <v>10.8</v>
      </c>
      <c r="L23" s="104" t="s">
        <v>362</v>
      </c>
      <c r="M23" s="172"/>
      <c r="N23" s="107" t="s">
        <v>363</v>
      </c>
      <c r="O23" s="106"/>
      <c r="P23" s="181"/>
      <c r="Q23" s="181"/>
      <c r="R23" s="113" t="s">
        <v>135</v>
      </c>
      <c r="S23" s="179"/>
      <c r="T23" s="179"/>
      <c r="U23" s="179"/>
      <c r="V23" s="98"/>
      <c r="W23" s="105">
        <v>14.399999999999997</v>
      </c>
      <c r="X23" s="104" t="s">
        <v>362</v>
      </c>
      <c r="Y23" s="172"/>
      <c r="Z23" s="105">
        <f>14.4*0.75</f>
        <v>10.8</v>
      </c>
      <c r="AA23" s="104" t="s">
        <v>362</v>
      </c>
      <c r="AB23" s="172"/>
      <c r="AC23" s="107" t="s">
        <v>364</v>
      </c>
    </row>
    <row r="24" spans="1:29" ht="12.75" customHeight="1">
      <c r="A24" s="184"/>
      <c r="B24" s="178"/>
      <c r="C24" s="104" t="s">
        <v>143</v>
      </c>
      <c r="D24" s="179"/>
      <c r="E24" s="179"/>
      <c r="F24" s="179"/>
      <c r="G24" s="98"/>
      <c r="H24" s="105">
        <v>10.099999999999998</v>
      </c>
      <c r="I24" s="104" t="s">
        <v>362</v>
      </c>
      <c r="J24" s="172"/>
      <c r="K24" s="105">
        <f>10.1*0.75</f>
        <v>7.5749999999999993</v>
      </c>
      <c r="L24" s="104" t="s">
        <v>362</v>
      </c>
      <c r="M24" s="172"/>
      <c r="N24" s="107"/>
      <c r="O24" s="106"/>
      <c r="P24" s="181"/>
      <c r="Q24" s="181"/>
      <c r="R24" s="104" t="s">
        <v>143</v>
      </c>
      <c r="S24" s="179"/>
      <c r="T24" s="179"/>
      <c r="U24" s="179"/>
      <c r="V24" s="98"/>
      <c r="W24" s="105">
        <v>10.099999999999998</v>
      </c>
      <c r="X24" s="104" t="s">
        <v>362</v>
      </c>
      <c r="Y24" s="172"/>
      <c r="Z24" s="105">
        <f>10.1*0.75</f>
        <v>7.5749999999999993</v>
      </c>
      <c r="AA24" s="104" t="s">
        <v>362</v>
      </c>
      <c r="AB24" s="172"/>
      <c r="AC24" s="107" t="s">
        <v>365</v>
      </c>
    </row>
    <row r="25" spans="1:29" ht="12.75" customHeight="1">
      <c r="A25" s="184"/>
      <c r="B25" s="178"/>
      <c r="C25" s="104" t="s">
        <v>55</v>
      </c>
      <c r="D25" s="179"/>
      <c r="E25" s="179"/>
      <c r="F25" s="179"/>
      <c r="G25" s="98"/>
      <c r="H25" s="105">
        <v>67.599999999999994</v>
      </c>
      <c r="I25" s="104" t="s">
        <v>362</v>
      </c>
      <c r="J25" s="172"/>
      <c r="K25" s="105">
        <f>67.6*0.75</f>
        <v>50.699999999999996</v>
      </c>
      <c r="L25" s="104" t="s">
        <v>362</v>
      </c>
      <c r="M25" s="172"/>
      <c r="N25" s="107"/>
      <c r="O25" s="106"/>
      <c r="P25" s="181"/>
      <c r="Q25" s="181"/>
      <c r="R25" s="104" t="s">
        <v>55</v>
      </c>
      <c r="S25" s="179"/>
      <c r="T25" s="179"/>
      <c r="U25" s="179"/>
      <c r="V25" s="98"/>
      <c r="W25" s="105">
        <v>67.599999999999994</v>
      </c>
      <c r="X25" s="104" t="s">
        <v>362</v>
      </c>
      <c r="Y25" s="172"/>
      <c r="Z25" s="105">
        <f>67.6*0.75</f>
        <v>50.699999999999996</v>
      </c>
      <c r="AA25" s="104" t="s">
        <v>362</v>
      </c>
      <c r="AB25" s="172"/>
      <c r="AC25" s="107"/>
    </row>
    <row r="26" spans="1:29" ht="12.75" customHeight="1">
      <c r="A26" s="184"/>
      <c r="B26" s="178"/>
      <c r="C26" s="109"/>
      <c r="D26" s="179"/>
      <c r="E26" s="179"/>
      <c r="F26" s="179"/>
      <c r="G26" s="98"/>
      <c r="H26" s="110">
        <v>0.9</v>
      </c>
      <c r="I26" s="109" t="s">
        <v>362</v>
      </c>
      <c r="J26" s="173"/>
      <c r="K26" s="110">
        <f>0.9*0.75</f>
        <v>0.67500000000000004</v>
      </c>
      <c r="L26" s="109" t="s">
        <v>362</v>
      </c>
      <c r="M26" s="173"/>
      <c r="N26" s="111"/>
      <c r="O26" s="106"/>
      <c r="P26" s="181"/>
      <c r="Q26" s="181"/>
      <c r="R26" s="109"/>
      <c r="S26" s="179"/>
      <c r="T26" s="179"/>
      <c r="U26" s="179"/>
      <c r="V26" s="98"/>
      <c r="W26" s="110">
        <v>0.9</v>
      </c>
      <c r="X26" s="109" t="s">
        <v>362</v>
      </c>
      <c r="Y26" s="173"/>
      <c r="Z26" s="110">
        <f>0.9*0.75</f>
        <v>0.67500000000000004</v>
      </c>
      <c r="AA26" s="109" t="s">
        <v>362</v>
      </c>
      <c r="AB26" s="173"/>
      <c r="AC26" s="111"/>
    </row>
    <row r="27" spans="1:29" ht="12.75" customHeight="1">
      <c r="A27" s="181">
        <v>6</v>
      </c>
      <c r="B27" s="178" t="s">
        <v>296</v>
      </c>
      <c r="C27" s="100" t="s">
        <v>151</v>
      </c>
      <c r="D27" s="179" t="s">
        <v>366</v>
      </c>
      <c r="E27" s="179" t="s">
        <v>367</v>
      </c>
      <c r="F27" s="179" t="s">
        <v>297</v>
      </c>
      <c r="G27" s="98"/>
      <c r="H27" s="99">
        <v>468</v>
      </c>
      <c r="I27" s="103" t="s">
        <v>361</v>
      </c>
      <c r="J27" s="171" t="s">
        <v>368</v>
      </c>
      <c r="K27" s="99">
        <f>468*0.75</f>
        <v>351</v>
      </c>
      <c r="L27" s="103" t="s">
        <v>286</v>
      </c>
      <c r="M27" s="171" t="s">
        <v>298</v>
      </c>
      <c r="N27" s="101" t="s">
        <v>39</v>
      </c>
      <c r="O27" s="106"/>
      <c r="P27" s="188"/>
      <c r="Q27" s="189"/>
      <c r="R27" s="189"/>
      <c r="S27" s="189"/>
      <c r="T27" s="189"/>
      <c r="U27" s="189"/>
      <c r="V27" s="189"/>
      <c r="W27" s="189"/>
      <c r="X27" s="189"/>
      <c r="Y27" s="189"/>
      <c r="Z27" s="189"/>
      <c r="AA27" s="189"/>
      <c r="AB27" s="189"/>
      <c r="AC27" s="190"/>
    </row>
    <row r="28" spans="1:29" ht="12.75" customHeight="1">
      <c r="A28" s="182"/>
      <c r="B28" s="178"/>
      <c r="C28" s="115" t="s">
        <v>154</v>
      </c>
      <c r="D28" s="179"/>
      <c r="E28" s="179"/>
      <c r="F28" s="179"/>
      <c r="G28" s="98"/>
      <c r="H28" s="105">
        <v>12.799999999999999</v>
      </c>
      <c r="I28" s="104" t="s">
        <v>287</v>
      </c>
      <c r="J28" s="172"/>
      <c r="K28" s="105">
        <f>12.8*0.75</f>
        <v>9.6000000000000014</v>
      </c>
      <c r="L28" s="104" t="s">
        <v>287</v>
      </c>
      <c r="M28" s="172"/>
      <c r="N28" s="107" t="s">
        <v>369</v>
      </c>
      <c r="O28" s="106"/>
      <c r="P28" s="191"/>
      <c r="Q28" s="192"/>
      <c r="R28" s="192"/>
      <c r="S28" s="192"/>
      <c r="T28" s="192"/>
      <c r="U28" s="192"/>
      <c r="V28" s="192"/>
      <c r="W28" s="192"/>
      <c r="X28" s="192"/>
      <c r="Y28" s="192"/>
      <c r="Z28" s="192"/>
      <c r="AA28" s="192"/>
      <c r="AB28" s="192"/>
      <c r="AC28" s="193"/>
    </row>
    <row r="29" spans="1:29" ht="12.75" customHeight="1">
      <c r="A29" s="182"/>
      <c r="B29" s="178"/>
      <c r="C29" s="116" t="s">
        <v>158</v>
      </c>
      <c r="D29" s="179"/>
      <c r="E29" s="179"/>
      <c r="F29" s="179"/>
      <c r="G29" s="98"/>
      <c r="H29" s="105">
        <v>14.7</v>
      </c>
      <c r="I29" s="104" t="s">
        <v>287</v>
      </c>
      <c r="J29" s="172"/>
      <c r="K29" s="105">
        <f>14.7*0.75</f>
        <v>11.024999999999999</v>
      </c>
      <c r="L29" s="104" t="s">
        <v>287</v>
      </c>
      <c r="M29" s="172"/>
      <c r="N29" s="107" t="s">
        <v>370</v>
      </c>
      <c r="O29" s="106"/>
      <c r="P29" s="181">
        <v>23</v>
      </c>
      <c r="Q29" s="181" t="s">
        <v>281</v>
      </c>
      <c r="R29" s="100" t="s">
        <v>110</v>
      </c>
      <c r="S29" s="179" t="s">
        <v>371</v>
      </c>
      <c r="T29" s="179" t="s">
        <v>372</v>
      </c>
      <c r="U29" s="179" t="s">
        <v>373</v>
      </c>
      <c r="V29" s="98"/>
      <c r="W29" s="99">
        <v>341</v>
      </c>
      <c r="X29" s="103" t="s">
        <v>286</v>
      </c>
      <c r="Y29" s="171" t="s">
        <v>374</v>
      </c>
      <c r="Z29" s="99">
        <f>341*0.75</f>
        <v>255.75</v>
      </c>
      <c r="AA29" s="103" t="s">
        <v>286</v>
      </c>
      <c r="AB29" s="171" t="s">
        <v>300</v>
      </c>
      <c r="AC29" s="101" t="s">
        <v>39</v>
      </c>
    </row>
    <row r="30" spans="1:29" ht="12.75" customHeight="1">
      <c r="A30" s="182"/>
      <c r="B30" s="178"/>
      <c r="C30" s="104" t="s">
        <v>55</v>
      </c>
      <c r="D30" s="179"/>
      <c r="E30" s="179"/>
      <c r="F30" s="179"/>
      <c r="G30" s="98"/>
      <c r="H30" s="105">
        <v>69.09999999999998</v>
      </c>
      <c r="I30" s="104" t="s">
        <v>287</v>
      </c>
      <c r="J30" s="172"/>
      <c r="K30" s="105">
        <f>69.1*0.75</f>
        <v>51.824999999999996</v>
      </c>
      <c r="L30" s="104" t="s">
        <v>287</v>
      </c>
      <c r="M30" s="172"/>
      <c r="N30" s="107"/>
      <c r="O30" s="106"/>
      <c r="P30" s="181"/>
      <c r="Q30" s="181"/>
      <c r="R30" s="113" t="s">
        <v>170</v>
      </c>
      <c r="S30" s="179"/>
      <c r="T30" s="179"/>
      <c r="U30" s="179"/>
      <c r="V30" s="98"/>
      <c r="W30" s="105">
        <v>13.999999999999998</v>
      </c>
      <c r="X30" s="104" t="s">
        <v>287</v>
      </c>
      <c r="Y30" s="172"/>
      <c r="Z30" s="105">
        <f>14*0.75</f>
        <v>10.5</v>
      </c>
      <c r="AA30" s="104" t="s">
        <v>287</v>
      </c>
      <c r="AB30" s="172"/>
      <c r="AC30" s="107" t="s">
        <v>363</v>
      </c>
    </row>
    <row r="31" spans="1:29" ht="12.75" customHeight="1">
      <c r="A31" s="182"/>
      <c r="B31" s="178"/>
      <c r="C31" s="109"/>
      <c r="D31" s="179"/>
      <c r="E31" s="179"/>
      <c r="F31" s="179"/>
      <c r="G31" s="98"/>
      <c r="H31" s="110">
        <v>1.1000000000000001</v>
      </c>
      <c r="I31" s="109" t="s">
        <v>287</v>
      </c>
      <c r="J31" s="173"/>
      <c r="K31" s="110">
        <f>1.1*0.75</f>
        <v>0.82500000000000007</v>
      </c>
      <c r="L31" s="109" t="s">
        <v>287</v>
      </c>
      <c r="M31" s="173"/>
      <c r="N31" s="111"/>
      <c r="O31" s="106"/>
      <c r="P31" s="181"/>
      <c r="Q31" s="181"/>
      <c r="R31" s="104" t="s">
        <v>174</v>
      </c>
      <c r="S31" s="179"/>
      <c r="T31" s="179"/>
      <c r="U31" s="179"/>
      <c r="V31" s="98"/>
      <c r="W31" s="105">
        <v>7.8999999999999995</v>
      </c>
      <c r="X31" s="104" t="s">
        <v>287</v>
      </c>
      <c r="Y31" s="172"/>
      <c r="Z31" s="105">
        <f>7.9*0.75</f>
        <v>5.9250000000000007</v>
      </c>
      <c r="AA31" s="104" t="s">
        <v>287</v>
      </c>
      <c r="AB31" s="172"/>
      <c r="AC31" s="107"/>
    </row>
    <row r="32" spans="1:29" ht="12.75" customHeight="1">
      <c r="A32" s="188"/>
      <c r="B32" s="189"/>
      <c r="C32" s="189"/>
      <c r="D32" s="189"/>
      <c r="E32" s="189"/>
      <c r="F32" s="189"/>
      <c r="G32" s="189"/>
      <c r="H32" s="189"/>
      <c r="I32" s="189"/>
      <c r="J32" s="189"/>
      <c r="K32" s="189"/>
      <c r="L32" s="189"/>
      <c r="M32" s="189"/>
      <c r="N32" s="190"/>
      <c r="O32" s="106"/>
      <c r="P32" s="181"/>
      <c r="Q32" s="181"/>
      <c r="R32" s="104" t="s">
        <v>35</v>
      </c>
      <c r="S32" s="179"/>
      <c r="T32" s="179"/>
      <c r="U32" s="179"/>
      <c r="V32" s="98"/>
      <c r="W32" s="105">
        <v>50.600000000000009</v>
      </c>
      <c r="X32" s="104" t="s">
        <v>287</v>
      </c>
      <c r="Y32" s="172"/>
      <c r="Z32" s="105">
        <f>50.6*0.75</f>
        <v>37.950000000000003</v>
      </c>
      <c r="AA32" s="104" t="s">
        <v>287</v>
      </c>
      <c r="AB32" s="172"/>
      <c r="AC32" s="107"/>
    </row>
    <row r="33" spans="1:29" ht="12.75" customHeight="1">
      <c r="A33" s="191"/>
      <c r="B33" s="192"/>
      <c r="C33" s="192"/>
      <c r="D33" s="192"/>
      <c r="E33" s="192"/>
      <c r="F33" s="192"/>
      <c r="G33" s="192"/>
      <c r="H33" s="192"/>
      <c r="I33" s="192"/>
      <c r="J33" s="192"/>
      <c r="K33" s="192"/>
      <c r="L33" s="192"/>
      <c r="M33" s="192"/>
      <c r="N33" s="193"/>
      <c r="O33" s="106"/>
      <c r="P33" s="181"/>
      <c r="Q33" s="181"/>
      <c r="R33" s="109"/>
      <c r="S33" s="179"/>
      <c r="T33" s="179"/>
      <c r="U33" s="179"/>
      <c r="V33" s="98"/>
      <c r="W33" s="110">
        <v>0.99999999999999989</v>
      </c>
      <c r="X33" s="109" t="s">
        <v>287</v>
      </c>
      <c r="Y33" s="173"/>
      <c r="Z33" s="110">
        <f>1*0.75</f>
        <v>0.75</v>
      </c>
      <c r="AA33" s="109" t="s">
        <v>375</v>
      </c>
      <c r="AB33" s="173"/>
      <c r="AC33" s="111"/>
    </row>
    <row r="34" spans="1:29" ht="12.75" customHeight="1">
      <c r="A34" s="181">
        <v>9</v>
      </c>
      <c r="B34" s="178" t="s">
        <v>281</v>
      </c>
      <c r="C34" s="117" t="s">
        <v>110</v>
      </c>
      <c r="D34" s="179" t="s">
        <v>376</v>
      </c>
      <c r="E34" s="179" t="s">
        <v>377</v>
      </c>
      <c r="F34" s="179" t="s">
        <v>299</v>
      </c>
      <c r="G34" s="98"/>
      <c r="H34" s="99">
        <v>342</v>
      </c>
      <c r="I34" s="103" t="s">
        <v>378</v>
      </c>
      <c r="J34" s="171" t="s">
        <v>379</v>
      </c>
      <c r="K34" s="99">
        <f>342*0.75</f>
        <v>256.5</v>
      </c>
      <c r="L34" s="103" t="s">
        <v>286</v>
      </c>
      <c r="M34" s="171" t="s">
        <v>300</v>
      </c>
      <c r="N34" s="101" t="s">
        <v>39</v>
      </c>
      <c r="O34" s="106"/>
      <c r="P34" s="181">
        <v>24</v>
      </c>
      <c r="Q34" s="181" t="s">
        <v>291</v>
      </c>
      <c r="R34" s="100" t="s">
        <v>13</v>
      </c>
      <c r="S34" s="179" t="s">
        <v>380</v>
      </c>
      <c r="T34" s="179" t="s">
        <v>381</v>
      </c>
      <c r="U34" s="179" t="s">
        <v>382</v>
      </c>
      <c r="V34" s="98"/>
      <c r="W34" s="99">
        <v>389</v>
      </c>
      <c r="X34" s="103" t="s">
        <v>383</v>
      </c>
      <c r="Y34" s="171" t="s">
        <v>149</v>
      </c>
      <c r="Z34" s="99">
        <f>389*0.75</f>
        <v>291.75</v>
      </c>
      <c r="AA34" s="103" t="s">
        <v>378</v>
      </c>
      <c r="AB34" s="171" t="s">
        <v>149</v>
      </c>
      <c r="AC34" s="101" t="s">
        <v>39</v>
      </c>
    </row>
    <row r="35" spans="1:29" ht="12.75" customHeight="1">
      <c r="A35" s="182"/>
      <c r="B35" s="178"/>
      <c r="C35" s="113" t="s">
        <v>170</v>
      </c>
      <c r="D35" s="179"/>
      <c r="E35" s="179"/>
      <c r="F35" s="179"/>
      <c r="G35" s="98"/>
      <c r="H35" s="105">
        <v>13.899999999999999</v>
      </c>
      <c r="I35" s="104" t="s">
        <v>375</v>
      </c>
      <c r="J35" s="172"/>
      <c r="K35" s="105">
        <f>13.9*0.75</f>
        <v>10.425000000000001</v>
      </c>
      <c r="L35" s="104" t="s">
        <v>375</v>
      </c>
      <c r="M35" s="172"/>
      <c r="N35" s="107" t="s">
        <v>384</v>
      </c>
      <c r="O35" s="106"/>
      <c r="P35" s="181"/>
      <c r="Q35" s="181"/>
      <c r="R35" s="114" t="s">
        <v>178</v>
      </c>
      <c r="S35" s="179"/>
      <c r="T35" s="179"/>
      <c r="U35" s="179"/>
      <c r="V35" s="98"/>
      <c r="W35" s="105">
        <v>16.299999999999997</v>
      </c>
      <c r="X35" s="104" t="s">
        <v>375</v>
      </c>
      <c r="Y35" s="172"/>
      <c r="Z35" s="105">
        <f>16.3*0.75</f>
        <v>12.225000000000001</v>
      </c>
      <c r="AA35" s="104" t="s">
        <v>375</v>
      </c>
      <c r="AB35" s="172"/>
      <c r="AC35" s="91" t="s">
        <v>385</v>
      </c>
    </row>
    <row r="36" spans="1:29" ht="12.75" customHeight="1">
      <c r="A36" s="182"/>
      <c r="B36" s="178"/>
      <c r="C36" s="104" t="s">
        <v>174</v>
      </c>
      <c r="D36" s="179"/>
      <c r="E36" s="179"/>
      <c r="F36" s="179"/>
      <c r="G36" s="98"/>
      <c r="H36" s="105">
        <v>7.8999999999999995</v>
      </c>
      <c r="I36" s="104" t="s">
        <v>375</v>
      </c>
      <c r="J36" s="172"/>
      <c r="K36" s="105">
        <f>7.9*0.75</f>
        <v>5.9250000000000007</v>
      </c>
      <c r="L36" s="104" t="s">
        <v>375</v>
      </c>
      <c r="M36" s="172"/>
      <c r="N36" s="107" t="s">
        <v>386</v>
      </c>
      <c r="O36" s="106"/>
      <c r="P36" s="181"/>
      <c r="Q36" s="181"/>
      <c r="R36" s="104" t="s">
        <v>183</v>
      </c>
      <c r="S36" s="179"/>
      <c r="T36" s="179"/>
      <c r="U36" s="179"/>
      <c r="V36" s="98"/>
      <c r="W36" s="105">
        <v>10.299999999999999</v>
      </c>
      <c r="X36" s="104" t="s">
        <v>375</v>
      </c>
      <c r="Y36" s="172"/>
      <c r="Z36" s="105">
        <f>10.3*0.75</f>
        <v>7.7250000000000005</v>
      </c>
      <c r="AA36" s="104" t="s">
        <v>375</v>
      </c>
      <c r="AB36" s="172"/>
      <c r="AC36" s="107"/>
    </row>
    <row r="37" spans="1:29" ht="12.75" customHeight="1">
      <c r="A37" s="182"/>
      <c r="B37" s="178"/>
      <c r="C37" s="104" t="s">
        <v>35</v>
      </c>
      <c r="D37" s="179"/>
      <c r="E37" s="179"/>
      <c r="F37" s="179"/>
      <c r="G37" s="98"/>
      <c r="H37" s="105">
        <v>50.8</v>
      </c>
      <c r="I37" s="104" t="s">
        <v>375</v>
      </c>
      <c r="J37" s="172"/>
      <c r="K37" s="105">
        <f>50.8*0.75</f>
        <v>38.099999999999994</v>
      </c>
      <c r="L37" s="104" t="s">
        <v>375</v>
      </c>
      <c r="M37" s="172"/>
      <c r="N37" s="107"/>
      <c r="O37" s="106"/>
      <c r="P37" s="181"/>
      <c r="Q37" s="181"/>
      <c r="R37" s="104" t="s">
        <v>55</v>
      </c>
      <c r="S37" s="179"/>
      <c r="T37" s="179"/>
      <c r="U37" s="179"/>
      <c r="V37" s="98"/>
      <c r="W37" s="105">
        <v>55.5</v>
      </c>
      <c r="X37" s="104" t="s">
        <v>375</v>
      </c>
      <c r="Y37" s="172"/>
      <c r="Z37" s="105">
        <f>55.5*0.75</f>
        <v>41.625</v>
      </c>
      <c r="AA37" s="104" t="s">
        <v>375</v>
      </c>
      <c r="AB37" s="172"/>
      <c r="AC37" s="107"/>
    </row>
    <row r="38" spans="1:29" ht="12.75" customHeight="1">
      <c r="A38" s="182"/>
      <c r="B38" s="178"/>
      <c r="C38" s="109"/>
      <c r="D38" s="179"/>
      <c r="E38" s="179"/>
      <c r="F38" s="179"/>
      <c r="G38" s="98"/>
      <c r="H38" s="110">
        <v>0.99999999999999989</v>
      </c>
      <c r="I38" s="109" t="s">
        <v>375</v>
      </c>
      <c r="J38" s="173"/>
      <c r="K38" s="110">
        <f>1*0.75</f>
        <v>0.75</v>
      </c>
      <c r="L38" s="109" t="s">
        <v>287</v>
      </c>
      <c r="M38" s="173"/>
      <c r="N38" s="111"/>
      <c r="O38" s="106"/>
      <c r="P38" s="181"/>
      <c r="Q38" s="181"/>
      <c r="R38" s="109" t="s">
        <v>113</v>
      </c>
      <c r="S38" s="179"/>
      <c r="T38" s="179"/>
      <c r="U38" s="179"/>
      <c r="V38" s="98"/>
      <c r="W38" s="110">
        <v>1.1000000000000001</v>
      </c>
      <c r="X38" s="109" t="s">
        <v>287</v>
      </c>
      <c r="Y38" s="173"/>
      <c r="Z38" s="110">
        <f>1.1*0.75</f>
        <v>0.82500000000000007</v>
      </c>
      <c r="AA38" s="109" t="s">
        <v>287</v>
      </c>
      <c r="AB38" s="173"/>
      <c r="AC38" s="111"/>
    </row>
    <row r="39" spans="1:29" ht="12.75" customHeight="1">
      <c r="A39" s="181">
        <v>10</v>
      </c>
      <c r="B39" s="178" t="s">
        <v>291</v>
      </c>
      <c r="C39" s="100" t="s">
        <v>13</v>
      </c>
      <c r="D39" s="179" t="s">
        <v>387</v>
      </c>
      <c r="E39" s="179" t="s">
        <v>388</v>
      </c>
      <c r="F39" s="179" t="s">
        <v>301</v>
      </c>
      <c r="G39" s="98"/>
      <c r="H39" s="99">
        <v>389</v>
      </c>
      <c r="I39" s="103" t="s">
        <v>286</v>
      </c>
      <c r="J39" s="171" t="s">
        <v>149</v>
      </c>
      <c r="K39" s="99">
        <f>389*0.75</f>
        <v>291.75</v>
      </c>
      <c r="L39" s="103" t="s">
        <v>389</v>
      </c>
      <c r="M39" s="171" t="s">
        <v>149</v>
      </c>
      <c r="N39" s="101" t="s">
        <v>39</v>
      </c>
      <c r="O39" s="106"/>
      <c r="P39" s="181">
        <v>25</v>
      </c>
      <c r="Q39" s="181" t="s">
        <v>46</v>
      </c>
      <c r="R39" s="118" t="s">
        <v>187</v>
      </c>
      <c r="S39" s="179" t="s">
        <v>390</v>
      </c>
      <c r="T39" s="179" t="s">
        <v>391</v>
      </c>
      <c r="U39" s="179" t="s">
        <v>392</v>
      </c>
      <c r="V39" s="98"/>
      <c r="W39" s="99">
        <v>347</v>
      </c>
      <c r="X39" s="103" t="s">
        <v>389</v>
      </c>
      <c r="Y39" s="171" t="s">
        <v>303</v>
      </c>
      <c r="Z39" s="99">
        <f>347*0.75</f>
        <v>260.25</v>
      </c>
      <c r="AA39" s="103" t="s">
        <v>389</v>
      </c>
      <c r="AB39" s="171" t="s">
        <v>393</v>
      </c>
      <c r="AC39" s="101" t="s">
        <v>39</v>
      </c>
    </row>
    <row r="40" spans="1:29" ht="12.75" customHeight="1">
      <c r="A40" s="182"/>
      <c r="B40" s="178"/>
      <c r="C40" s="114" t="s">
        <v>178</v>
      </c>
      <c r="D40" s="179"/>
      <c r="E40" s="179"/>
      <c r="F40" s="179"/>
      <c r="G40" s="98"/>
      <c r="H40" s="105">
        <v>16.299999999999997</v>
      </c>
      <c r="I40" s="104" t="s">
        <v>394</v>
      </c>
      <c r="J40" s="172"/>
      <c r="K40" s="105">
        <f>16.3*0.75</f>
        <v>12.225000000000001</v>
      </c>
      <c r="L40" s="104" t="s">
        <v>394</v>
      </c>
      <c r="M40" s="172"/>
      <c r="N40" s="107" t="s">
        <v>395</v>
      </c>
      <c r="O40" s="106"/>
      <c r="P40" s="181"/>
      <c r="Q40" s="181"/>
      <c r="R40" s="104" t="s">
        <v>192</v>
      </c>
      <c r="S40" s="179"/>
      <c r="T40" s="179"/>
      <c r="U40" s="179"/>
      <c r="V40" s="98"/>
      <c r="W40" s="105">
        <v>11.5</v>
      </c>
      <c r="X40" s="104" t="s">
        <v>394</v>
      </c>
      <c r="Y40" s="172"/>
      <c r="Z40" s="105">
        <f>11.5*0.75</f>
        <v>8.625</v>
      </c>
      <c r="AA40" s="104" t="s">
        <v>394</v>
      </c>
      <c r="AB40" s="172"/>
      <c r="AC40" s="107" t="s">
        <v>396</v>
      </c>
    </row>
    <row r="41" spans="1:29" ht="12.75" customHeight="1">
      <c r="A41" s="182"/>
      <c r="B41" s="178"/>
      <c r="C41" s="104" t="s">
        <v>183</v>
      </c>
      <c r="D41" s="179"/>
      <c r="E41" s="179"/>
      <c r="F41" s="179"/>
      <c r="G41" s="98"/>
      <c r="H41" s="105">
        <v>10.299999999999999</v>
      </c>
      <c r="I41" s="104" t="s">
        <v>394</v>
      </c>
      <c r="J41" s="172"/>
      <c r="K41" s="105">
        <f>10.3*0.75</f>
        <v>7.7250000000000005</v>
      </c>
      <c r="L41" s="104" t="s">
        <v>394</v>
      </c>
      <c r="M41" s="172"/>
      <c r="N41" s="107"/>
      <c r="O41" s="106"/>
      <c r="P41" s="181"/>
      <c r="Q41" s="181"/>
      <c r="R41" s="104" t="s">
        <v>129</v>
      </c>
      <c r="S41" s="179"/>
      <c r="T41" s="179"/>
      <c r="U41" s="179"/>
      <c r="V41" s="98"/>
      <c r="W41" s="105">
        <v>12.2</v>
      </c>
      <c r="X41" s="104" t="s">
        <v>394</v>
      </c>
      <c r="Y41" s="172"/>
      <c r="Z41" s="105">
        <f>12.2*0.75</f>
        <v>9.1499999999999986</v>
      </c>
      <c r="AA41" s="104" t="s">
        <v>394</v>
      </c>
      <c r="AB41" s="172"/>
      <c r="AC41" s="107"/>
    </row>
    <row r="42" spans="1:29" ht="12.75" customHeight="1">
      <c r="A42" s="182"/>
      <c r="B42" s="178"/>
      <c r="C42" s="104" t="s">
        <v>55</v>
      </c>
      <c r="D42" s="179"/>
      <c r="E42" s="179"/>
      <c r="F42" s="179"/>
      <c r="G42" s="98"/>
      <c r="H42" s="105">
        <v>55.5</v>
      </c>
      <c r="I42" s="104" t="s">
        <v>394</v>
      </c>
      <c r="J42" s="172"/>
      <c r="K42" s="105">
        <f>55.5*0.75</f>
        <v>41.625</v>
      </c>
      <c r="L42" s="104" t="s">
        <v>394</v>
      </c>
      <c r="M42" s="172"/>
      <c r="N42" s="107"/>
      <c r="O42" s="106"/>
      <c r="P42" s="181"/>
      <c r="Q42" s="181"/>
      <c r="R42" s="104"/>
      <c r="S42" s="179"/>
      <c r="T42" s="179"/>
      <c r="U42" s="179"/>
      <c r="V42" s="98"/>
      <c r="W42" s="105">
        <v>47.699999999999989</v>
      </c>
      <c r="X42" s="104" t="s">
        <v>394</v>
      </c>
      <c r="Y42" s="172"/>
      <c r="Z42" s="105">
        <f>47.7*0.75</f>
        <v>35.775000000000006</v>
      </c>
      <c r="AA42" s="104" t="s">
        <v>394</v>
      </c>
      <c r="AB42" s="172"/>
      <c r="AC42" s="107"/>
    </row>
    <row r="43" spans="1:29" ht="12.75" customHeight="1">
      <c r="A43" s="182"/>
      <c r="B43" s="178"/>
      <c r="C43" s="109" t="s">
        <v>113</v>
      </c>
      <c r="D43" s="179"/>
      <c r="E43" s="179"/>
      <c r="F43" s="179"/>
      <c r="G43" s="98"/>
      <c r="H43" s="110">
        <v>1.1000000000000001</v>
      </c>
      <c r="I43" s="109" t="s">
        <v>394</v>
      </c>
      <c r="J43" s="173"/>
      <c r="K43" s="110">
        <f>1.1*0.75</f>
        <v>0.82500000000000007</v>
      </c>
      <c r="L43" s="109" t="s">
        <v>394</v>
      </c>
      <c r="M43" s="173"/>
      <c r="N43" s="111"/>
      <c r="O43" s="106"/>
      <c r="P43" s="181"/>
      <c r="Q43" s="181"/>
      <c r="R43" s="109"/>
      <c r="S43" s="179"/>
      <c r="T43" s="179"/>
      <c r="U43" s="179"/>
      <c r="V43" s="98"/>
      <c r="W43" s="110">
        <v>2.9000000000000004</v>
      </c>
      <c r="X43" s="109" t="s">
        <v>394</v>
      </c>
      <c r="Y43" s="173"/>
      <c r="Z43" s="110">
        <f>2.9*0.75</f>
        <v>2.1749999999999998</v>
      </c>
      <c r="AA43" s="109" t="s">
        <v>394</v>
      </c>
      <c r="AB43" s="173"/>
      <c r="AC43" s="111"/>
    </row>
    <row r="44" spans="1:29" ht="12.75" customHeight="1">
      <c r="A44" s="181">
        <v>11</v>
      </c>
      <c r="B44" s="178" t="s">
        <v>46</v>
      </c>
      <c r="C44" s="118" t="s">
        <v>187</v>
      </c>
      <c r="D44" s="179" t="s">
        <v>397</v>
      </c>
      <c r="E44" s="179" t="s">
        <v>398</v>
      </c>
      <c r="F44" s="179" t="s">
        <v>302</v>
      </c>
      <c r="G44" s="98"/>
      <c r="H44" s="99">
        <v>347</v>
      </c>
      <c r="I44" s="103" t="s">
        <v>389</v>
      </c>
      <c r="J44" s="171" t="s">
        <v>393</v>
      </c>
      <c r="K44" s="99">
        <f>347*0.75</f>
        <v>260.25</v>
      </c>
      <c r="L44" s="103" t="s">
        <v>399</v>
      </c>
      <c r="M44" s="171" t="s">
        <v>400</v>
      </c>
      <c r="N44" s="101" t="s">
        <v>39</v>
      </c>
      <c r="O44" s="106"/>
      <c r="P44" s="181">
        <v>26</v>
      </c>
      <c r="Q44" s="181" t="s">
        <v>294</v>
      </c>
      <c r="R44" s="100" t="s">
        <v>13</v>
      </c>
      <c r="S44" s="179" t="s">
        <v>401</v>
      </c>
      <c r="T44" s="179" t="s">
        <v>402</v>
      </c>
      <c r="U44" s="179" t="s">
        <v>304</v>
      </c>
      <c r="V44" s="98"/>
      <c r="W44" s="99">
        <v>394</v>
      </c>
      <c r="X44" s="103" t="s">
        <v>399</v>
      </c>
      <c r="Y44" s="171" t="s">
        <v>149</v>
      </c>
      <c r="Z44" s="99">
        <f>394*0.75</f>
        <v>295.5</v>
      </c>
      <c r="AA44" s="103" t="s">
        <v>403</v>
      </c>
      <c r="AB44" s="171" t="s">
        <v>149</v>
      </c>
      <c r="AC44" s="101" t="s">
        <v>39</v>
      </c>
    </row>
    <row r="45" spans="1:29" ht="12.75" customHeight="1">
      <c r="A45" s="182"/>
      <c r="B45" s="178"/>
      <c r="C45" s="104" t="s">
        <v>192</v>
      </c>
      <c r="D45" s="179"/>
      <c r="E45" s="179"/>
      <c r="F45" s="179"/>
      <c r="G45" s="98"/>
      <c r="H45" s="105">
        <v>11.5</v>
      </c>
      <c r="I45" s="104" t="s">
        <v>404</v>
      </c>
      <c r="J45" s="172"/>
      <c r="K45" s="105">
        <f>11.5*0.75</f>
        <v>8.625</v>
      </c>
      <c r="L45" s="104" t="s">
        <v>404</v>
      </c>
      <c r="M45" s="172"/>
      <c r="N45" s="107" t="s">
        <v>405</v>
      </c>
      <c r="O45" s="106"/>
      <c r="P45" s="181"/>
      <c r="Q45" s="181"/>
      <c r="R45" s="119" t="s">
        <v>196</v>
      </c>
      <c r="S45" s="179"/>
      <c r="T45" s="179"/>
      <c r="U45" s="179"/>
      <c r="V45" s="98"/>
      <c r="W45" s="105">
        <v>14.799999999999997</v>
      </c>
      <c r="X45" s="104" t="s">
        <v>404</v>
      </c>
      <c r="Y45" s="172"/>
      <c r="Z45" s="105">
        <f>14.8*0.75</f>
        <v>11.100000000000001</v>
      </c>
      <c r="AA45" s="104" t="s">
        <v>404</v>
      </c>
      <c r="AB45" s="172"/>
      <c r="AC45" s="107" t="s">
        <v>406</v>
      </c>
    </row>
    <row r="46" spans="1:29" ht="12.75" customHeight="1">
      <c r="A46" s="182"/>
      <c r="B46" s="178"/>
      <c r="C46" s="104" t="s">
        <v>129</v>
      </c>
      <c r="D46" s="179"/>
      <c r="E46" s="179"/>
      <c r="F46" s="179"/>
      <c r="G46" s="98"/>
      <c r="H46" s="105">
        <v>12.2</v>
      </c>
      <c r="I46" s="104" t="s">
        <v>404</v>
      </c>
      <c r="J46" s="172"/>
      <c r="K46" s="105">
        <f>12.2*0.75</f>
        <v>9.1499999999999986</v>
      </c>
      <c r="L46" s="104" t="s">
        <v>404</v>
      </c>
      <c r="M46" s="172"/>
      <c r="N46" s="107"/>
      <c r="O46" s="106"/>
      <c r="P46" s="181"/>
      <c r="Q46" s="181"/>
      <c r="R46" s="104" t="s">
        <v>201</v>
      </c>
      <c r="S46" s="179"/>
      <c r="T46" s="179"/>
      <c r="U46" s="179"/>
      <c r="V46" s="98"/>
      <c r="W46" s="105">
        <v>12.4</v>
      </c>
      <c r="X46" s="104" t="s">
        <v>404</v>
      </c>
      <c r="Y46" s="172"/>
      <c r="Z46" s="105">
        <f>12.4*0.75</f>
        <v>9.3000000000000007</v>
      </c>
      <c r="AA46" s="104" t="s">
        <v>404</v>
      </c>
      <c r="AB46" s="172"/>
      <c r="AC46" s="107"/>
    </row>
    <row r="47" spans="1:29" ht="12.75" customHeight="1">
      <c r="A47" s="182"/>
      <c r="B47" s="178"/>
      <c r="C47" s="104"/>
      <c r="D47" s="179"/>
      <c r="E47" s="179"/>
      <c r="F47" s="179"/>
      <c r="G47" s="98"/>
      <c r="H47" s="105">
        <v>47.699999999999989</v>
      </c>
      <c r="I47" s="104" t="s">
        <v>404</v>
      </c>
      <c r="J47" s="172"/>
      <c r="K47" s="105">
        <f>47.7*0.75</f>
        <v>35.775000000000006</v>
      </c>
      <c r="L47" s="104" t="s">
        <v>404</v>
      </c>
      <c r="M47" s="172"/>
      <c r="N47" s="107"/>
      <c r="O47" s="106"/>
      <c r="P47" s="181"/>
      <c r="Q47" s="181"/>
      <c r="R47" s="104" t="s">
        <v>55</v>
      </c>
      <c r="S47" s="179"/>
      <c r="T47" s="179"/>
      <c r="U47" s="179"/>
      <c r="V47" s="98"/>
      <c r="W47" s="105">
        <v>53.1</v>
      </c>
      <c r="X47" s="104" t="s">
        <v>404</v>
      </c>
      <c r="Y47" s="172"/>
      <c r="Z47" s="105">
        <f>53.1*0.75</f>
        <v>39.825000000000003</v>
      </c>
      <c r="AA47" s="104" t="s">
        <v>404</v>
      </c>
      <c r="AB47" s="172"/>
      <c r="AC47" s="107"/>
    </row>
    <row r="48" spans="1:29" ht="12.75" customHeight="1">
      <c r="A48" s="182"/>
      <c r="B48" s="178"/>
      <c r="C48" s="109"/>
      <c r="D48" s="179"/>
      <c r="E48" s="179"/>
      <c r="F48" s="179"/>
      <c r="G48" s="98"/>
      <c r="H48" s="110">
        <v>2.9000000000000004</v>
      </c>
      <c r="I48" s="109" t="s">
        <v>404</v>
      </c>
      <c r="J48" s="173"/>
      <c r="K48" s="110">
        <f>2.9*0.75</f>
        <v>2.1749999999999998</v>
      </c>
      <c r="L48" s="109" t="s">
        <v>404</v>
      </c>
      <c r="M48" s="173"/>
      <c r="N48" s="111"/>
      <c r="O48" s="106"/>
      <c r="P48" s="181"/>
      <c r="Q48" s="181"/>
      <c r="R48" s="109" t="s">
        <v>108</v>
      </c>
      <c r="S48" s="179"/>
      <c r="T48" s="179"/>
      <c r="U48" s="179"/>
      <c r="V48" s="98"/>
      <c r="W48" s="110">
        <v>1.1000000000000001</v>
      </c>
      <c r="X48" s="109" t="s">
        <v>404</v>
      </c>
      <c r="Y48" s="173"/>
      <c r="Z48" s="110">
        <f>1.1*0.75</f>
        <v>0.82500000000000007</v>
      </c>
      <c r="AA48" s="109" t="s">
        <v>404</v>
      </c>
      <c r="AB48" s="173"/>
      <c r="AC48" s="111"/>
    </row>
    <row r="49" spans="1:29" ht="12.75" customHeight="1">
      <c r="A49" s="181">
        <v>12</v>
      </c>
      <c r="B49" s="178" t="s">
        <v>294</v>
      </c>
      <c r="C49" s="120" t="s">
        <v>13</v>
      </c>
      <c r="D49" s="179" t="s">
        <v>401</v>
      </c>
      <c r="E49" s="179" t="s">
        <v>402</v>
      </c>
      <c r="F49" s="179" t="s">
        <v>304</v>
      </c>
      <c r="G49" s="98"/>
      <c r="H49" s="99">
        <v>394</v>
      </c>
      <c r="I49" s="103" t="s">
        <v>403</v>
      </c>
      <c r="J49" s="171" t="s">
        <v>149</v>
      </c>
      <c r="K49" s="99">
        <f>394*0.75</f>
        <v>295.5</v>
      </c>
      <c r="L49" s="103" t="s">
        <v>286</v>
      </c>
      <c r="M49" s="171" t="s">
        <v>149</v>
      </c>
      <c r="N49" s="101" t="s">
        <v>39</v>
      </c>
      <c r="O49" s="106"/>
      <c r="P49" s="181">
        <v>27</v>
      </c>
      <c r="Q49" s="181" t="s">
        <v>296</v>
      </c>
      <c r="R49" s="104" t="s">
        <v>13</v>
      </c>
      <c r="S49" s="179" t="s">
        <v>407</v>
      </c>
      <c r="T49" s="179" t="s">
        <v>305</v>
      </c>
      <c r="U49" s="179" t="s">
        <v>306</v>
      </c>
      <c r="V49" s="98"/>
      <c r="W49" s="99">
        <v>448</v>
      </c>
      <c r="X49" s="103" t="s">
        <v>286</v>
      </c>
      <c r="Y49" s="171" t="s">
        <v>285</v>
      </c>
      <c r="Z49" s="99">
        <f>448*0.75</f>
        <v>336</v>
      </c>
      <c r="AA49" s="103" t="s">
        <v>286</v>
      </c>
      <c r="AB49" s="171" t="s">
        <v>285</v>
      </c>
      <c r="AC49" s="101" t="s">
        <v>39</v>
      </c>
    </row>
    <row r="50" spans="1:29" ht="12.75" customHeight="1">
      <c r="A50" s="182"/>
      <c r="B50" s="178"/>
      <c r="C50" s="119" t="s">
        <v>196</v>
      </c>
      <c r="D50" s="179"/>
      <c r="E50" s="179"/>
      <c r="F50" s="179"/>
      <c r="G50" s="98"/>
      <c r="H50" s="105">
        <v>14.799999999999997</v>
      </c>
      <c r="I50" s="104" t="s">
        <v>287</v>
      </c>
      <c r="J50" s="172"/>
      <c r="K50" s="105">
        <f>14.8*0.75</f>
        <v>11.100000000000001</v>
      </c>
      <c r="L50" s="104" t="s">
        <v>287</v>
      </c>
      <c r="M50" s="172"/>
      <c r="N50" s="107" t="s">
        <v>408</v>
      </c>
      <c r="O50" s="106"/>
      <c r="P50" s="181"/>
      <c r="Q50" s="181"/>
      <c r="R50" s="113" t="s">
        <v>231</v>
      </c>
      <c r="S50" s="179"/>
      <c r="T50" s="179"/>
      <c r="U50" s="179"/>
      <c r="V50" s="98"/>
      <c r="W50" s="105">
        <v>14.799999999999999</v>
      </c>
      <c r="X50" s="104" t="s">
        <v>287</v>
      </c>
      <c r="Y50" s="172"/>
      <c r="Z50" s="105">
        <f>14.8*0.75</f>
        <v>11.100000000000001</v>
      </c>
      <c r="AA50" s="104" t="s">
        <v>287</v>
      </c>
      <c r="AB50" s="172"/>
      <c r="AC50" s="107" t="s">
        <v>409</v>
      </c>
    </row>
    <row r="51" spans="1:29" ht="12.75" customHeight="1">
      <c r="A51" s="182"/>
      <c r="B51" s="178"/>
      <c r="C51" s="104" t="s">
        <v>201</v>
      </c>
      <c r="D51" s="179"/>
      <c r="E51" s="179"/>
      <c r="F51" s="179"/>
      <c r="G51" s="98"/>
      <c r="H51" s="105">
        <v>12.399999999999999</v>
      </c>
      <c r="I51" s="104" t="s">
        <v>287</v>
      </c>
      <c r="J51" s="172"/>
      <c r="K51" s="105">
        <f>12.4*0.75</f>
        <v>9.3000000000000007</v>
      </c>
      <c r="L51" s="104" t="s">
        <v>287</v>
      </c>
      <c r="M51" s="172"/>
      <c r="N51" s="107"/>
      <c r="O51" s="106"/>
      <c r="P51" s="181"/>
      <c r="Q51" s="181"/>
      <c r="R51" s="116" t="s">
        <v>210</v>
      </c>
      <c r="S51" s="179"/>
      <c r="T51" s="179"/>
      <c r="U51" s="179"/>
      <c r="V51" s="98"/>
      <c r="W51" s="105">
        <v>14.299999999999999</v>
      </c>
      <c r="X51" s="104" t="s">
        <v>287</v>
      </c>
      <c r="Y51" s="172"/>
      <c r="Z51" s="105">
        <f>14.3*0.75</f>
        <v>10.725000000000001</v>
      </c>
      <c r="AA51" s="104" t="s">
        <v>287</v>
      </c>
      <c r="AB51" s="172"/>
      <c r="AC51" s="107" t="s">
        <v>370</v>
      </c>
    </row>
    <row r="52" spans="1:29" ht="12.75" customHeight="1">
      <c r="A52" s="182"/>
      <c r="B52" s="178"/>
      <c r="C52" s="104" t="s">
        <v>55</v>
      </c>
      <c r="D52" s="179"/>
      <c r="E52" s="179"/>
      <c r="F52" s="179"/>
      <c r="G52" s="98"/>
      <c r="H52" s="105">
        <v>53.1</v>
      </c>
      <c r="I52" s="104" t="s">
        <v>287</v>
      </c>
      <c r="J52" s="172"/>
      <c r="K52" s="105">
        <f>53.1*0.75</f>
        <v>39.825000000000003</v>
      </c>
      <c r="L52" s="104" t="s">
        <v>287</v>
      </c>
      <c r="M52" s="172"/>
      <c r="N52" s="107"/>
      <c r="O52" s="106"/>
      <c r="P52" s="181"/>
      <c r="Q52" s="181"/>
      <c r="R52" s="104" t="s">
        <v>58</v>
      </c>
      <c r="S52" s="179"/>
      <c r="T52" s="179"/>
      <c r="U52" s="179"/>
      <c r="V52" s="98"/>
      <c r="W52" s="105">
        <v>62.79999999999999</v>
      </c>
      <c r="X52" s="104" t="s">
        <v>287</v>
      </c>
      <c r="Y52" s="172"/>
      <c r="Z52" s="105">
        <f>62.8*0.75</f>
        <v>47.099999999999994</v>
      </c>
      <c r="AA52" s="104" t="s">
        <v>287</v>
      </c>
      <c r="AB52" s="172"/>
      <c r="AC52" s="107"/>
    </row>
    <row r="53" spans="1:29" ht="12.75" customHeight="1">
      <c r="A53" s="182"/>
      <c r="B53" s="178"/>
      <c r="C53" s="109" t="s">
        <v>108</v>
      </c>
      <c r="D53" s="179"/>
      <c r="E53" s="179"/>
      <c r="F53" s="179"/>
      <c r="G53" s="98"/>
      <c r="H53" s="110">
        <v>1.1000000000000001</v>
      </c>
      <c r="I53" s="109" t="s">
        <v>287</v>
      </c>
      <c r="J53" s="173"/>
      <c r="K53" s="110">
        <f>1.1*0.75</f>
        <v>0.82500000000000007</v>
      </c>
      <c r="L53" s="109" t="s">
        <v>287</v>
      </c>
      <c r="M53" s="173"/>
      <c r="N53" s="111"/>
      <c r="O53" s="106"/>
      <c r="P53" s="181"/>
      <c r="Q53" s="181"/>
      <c r="R53" s="109"/>
      <c r="S53" s="179"/>
      <c r="T53" s="179"/>
      <c r="U53" s="179"/>
      <c r="V53" s="98"/>
      <c r="W53" s="110">
        <v>1.4000000000000004</v>
      </c>
      <c r="X53" s="109" t="s">
        <v>287</v>
      </c>
      <c r="Y53" s="173"/>
      <c r="Z53" s="110">
        <f>1.4*0.75</f>
        <v>1.0499999999999998</v>
      </c>
      <c r="AA53" s="109" t="s">
        <v>287</v>
      </c>
      <c r="AB53" s="173"/>
      <c r="AC53" s="111"/>
    </row>
    <row r="54" spans="1:29" ht="12.75" customHeight="1">
      <c r="A54" s="185" t="s">
        <v>307</v>
      </c>
      <c r="B54" s="187" t="s">
        <v>290</v>
      </c>
      <c r="C54" s="113" t="s">
        <v>308</v>
      </c>
      <c r="D54" s="179" t="s">
        <v>410</v>
      </c>
      <c r="E54" s="179" t="s">
        <v>305</v>
      </c>
      <c r="F54" s="179" t="s">
        <v>309</v>
      </c>
      <c r="G54" s="98"/>
      <c r="H54" s="99">
        <v>459</v>
      </c>
      <c r="I54" s="103" t="s">
        <v>286</v>
      </c>
      <c r="J54" s="171" t="s">
        <v>285</v>
      </c>
      <c r="K54" s="99">
        <f>459*0.75</f>
        <v>344.25</v>
      </c>
      <c r="L54" s="103" t="s">
        <v>378</v>
      </c>
      <c r="M54" s="171" t="s">
        <v>285</v>
      </c>
      <c r="N54" s="101" t="s">
        <v>39</v>
      </c>
      <c r="O54" s="106"/>
      <c r="P54" s="188"/>
      <c r="Q54" s="189"/>
      <c r="R54" s="189"/>
      <c r="S54" s="189"/>
      <c r="T54" s="189"/>
      <c r="U54" s="189"/>
      <c r="V54" s="189"/>
      <c r="W54" s="189"/>
      <c r="X54" s="189"/>
      <c r="Y54" s="189"/>
      <c r="Z54" s="189"/>
      <c r="AA54" s="189"/>
      <c r="AB54" s="189"/>
      <c r="AC54" s="190"/>
    </row>
    <row r="55" spans="1:29" ht="12.75" customHeight="1">
      <c r="A55" s="186"/>
      <c r="B55" s="187"/>
      <c r="C55" s="116" t="s">
        <v>210</v>
      </c>
      <c r="D55" s="179"/>
      <c r="E55" s="179"/>
      <c r="F55" s="179"/>
      <c r="G55" s="98"/>
      <c r="H55" s="105">
        <v>14.5</v>
      </c>
      <c r="I55" s="104" t="s">
        <v>375</v>
      </c>
      <c r="J55" s="172"/>
      <c r="K55" s="105">
        <f>14.5*0.75</f>
        <v>10.875</v>
      </c>
      <c r="L55" s="104" t="s">
        <v>375</v>
      </c>
      <c r="M55" s="172"/>
      <c r="N55" s="107" t="s">
        <v>411</v>
      </c>
      <c r="O55" s="106"/>
      <c r="P55" s="191"/>
      <c r="Q55" s="192"/>
      <c r="R55" s="192"/>
      <c r="S55" s="192"/>
      <c r="T55" s="192"/>
      <c r="U55" s="192"/>
      <c r="V55" s="192"/>
      <c r="W55" s="192"/>
      <c r="X55" s="192"/>
      <c r="Y55" s="192"/>
      <c r="Z55" s="192"/>
      <c r="AA55" s="192"/>
      <c r="AB55" s="192"/>
      <c r="AC55" s="193"/>
    </row>
    <row r="56" spans="1:29" ht="12.75" customHeight="1">
      <c r="A56" s="186"/>
      <c r="B56" s="187"/>
      <c r="C56" s="104" t="s">
        <v>58</v>
      </c>
      <c r="D56" s="179"/>
      <c r="E56" s="179"/>
      <c r="F56" s="179"/>
      <c r="G56" s="98"/>
      <c r="H56" s="105">
        <v>15.000000000000002</v>
      </c>
      <c r="I56" s="104" t="s">
        <v>375</v>
      </c>
      <c r="J56" s="172"/>
      <c r="K56" s="105">
        <f>15*0.75</f>
        <v>11.25</v>
      </c>
      <c r="L56" s="104" t="s">
        <v>287</v>
      </c>
      <c r="M56" s="172"/>
      <c r="N56" s="107" t="s">
        <v>412</v>
      </c>
      <c r="O56" s="106"/>
      <c r="P56" s="177">
        <v>30</v>
      </c>
      <c r="Q56" s="181" t="s">
        <v>281</v>
      </c>
      <c r="R56" s="97" t="s">
        <v>62</v>
      </c>
      <c r="S56" s="179" t="s">
        <v>413</v>
      </c>
      <c r="T56" s="179" t="s">
        <v>282</v>
      </c>
      <c r="U56" s="179" t="s">
        <v>283</v>
      </c>
      <c r="V56" s="98"/>
      <c r="W56" s="99">
        <v>387</v>
      </c>
      <c r="X56" s="103" t="s">
        <v>286</v>
      </c>
      <c r="Y56" s="171" t="s">
        <v>285</v>
      </c>
      <c r="Z56" s="99">
        <f>387*0.75</f>
        <v>290.25</v>
      </c>
      <c r="AA56" s="103" t="s">
        <v>414</v>
      </c>
      <c r="AB56" s="171" t="s">
        <v>285</v>
      </c>
      <c r="AC56" s="101" t="s">
        <v>39</v>
      </c>
    </row>
    <row r="57" spans="1:29" ht="12.75" customHeight="1">
      <c r="A57" s="186"/>
      <c r="B57" s="187"/>
      <c r="C57" s="104"/>
      <c r="D57" s="179"/>
      <c r="E57" s="179"/>
      <c r="F57" s="179"/>
      <c r="G57" s="98"/>
      <c r="H57" s="105">
        <v>63.899999999999991</v>
      </c>
      <c r="I57" s="104" t="s">
        <v>415</v>
      </c>
      <c r="J57" s="172"/>
      <c r="K57" s="105">
        <f>63.9*0.75</f>
        <v>47.924999999999997</v>
      </c>
      <c r="L57" s="104" t="s">
        <v>415</v>
      </c>
      <c r="M57" s="172"/>
      <c r="N57" s="107"/>
      <c r="O57" s="106"/>
      <c r="P57" s="177"/>
      <c r="Q57" s="181"/>
      <c r="R57" s="104" t="s">
        <v>69</v>
      </c>
      <c r="S57" s="180"/>
      <c r="T57" s="180"/>
      <c r="U57" s="179"/>
      <c r="V57" s="98"/>
      <c r="W57" s="105">
        <v>15.8</v>
      </c>
      <c r="X57" s="104" t="s">
        <v>415</v>
      </c>
      <c r="Y57" s="172"/>
      <c r="Z57" s="105">
        <f>15.8*0.75</f>
        <v>11.850000000000001</v>
      </c>
      <c r="AA57" s="104" t="s">
        <v>415</v>
      </c>
      <c r="AB57" s="172"/>
      <c r="AC57" s="107" t="s">
        <v>340</v>
      </c>
    </row>
    <row r="58" spans="1:29" ht="12.75" customHeight="1">
      <c r="A58" s="186"/>
      <c r="B58" s="187"/>
      <c r="C58" s="109"/>
      <c r="D58" s="179"/>
      <c r="E58" s="179"/>
      <c r="F58" s="179"/>
      <c r="G58" s="98"/>
      <c r="H58" s="110">
        <v>1.6000000000000003</v>
      </c>
      <c r="I58" s="109" t="s">
        <v>415</v>
      </c>
      <c r="J58" s="173"/>
      <c r="K58" s="110">
        <f>1.6*0.75</f>
        <v>1.2000000000000002</v>
      </c>
      <c r="L58" s="109" t="s">
        <v>415</v>
      </c>
      <c r="M58" s="173"/>
      <c r="N58" s="111"/>
      <c r="O58" s="106"/>
      <c r="P58" s="177"/>
      <c r="Q58" s="181"/>
      <c r="R58" s="104" t="s">
        <v>76</v>
      </c>
      <c r="S58" s="180"/>
      <c r="T58" s="180"/>
      <c r="U58" s="179"/>
      <c r="V58" s="98"/>
      <c r="W58" s="105">
        <v>15.5</v>
      </c>
      <c r="X58" s="104" t="s">
        <v>415</v>
      </c>
      <c r="Y58" s="172"/>
      <c r="Z58" s="105">
        <f>15.5*0.75</f>
        <v>11.625</v>
      </c>
      <c r="AA58" s="104" t="s">
        <v>415</v>
      </c>
      <c r="AB58" s="172"/>
      <c r="AC58" s="107"/>
    </row>
    <row r="59" spans="1:29" ht="12.75" customHeight="1">
      <c r="A59" s="188"/>
      <c r="B59" s="189"/>
      <c r="C59" s="189"/>
      <c r="D59" s="189"/>
      <c r="E59" s="189"/>
      <c r="F59" s="189"/>
      <c r="G59" s="189"/>
      <c r="H59" s="189"/>
      <c r="I59" s="189"/>
      <c r="J59" s="189"/>
      <c r="K59" s="189"/>
      <c r="L59" s="189"/>
      <c r="M59" s="189"/>
      <c r="N59" s="190"/>
      <c r="O59" s="106"/>
      <c r="P59" s="177"/>
      <c r="Q59" s="181"/>
      <c r="R59" s="104"/>
      <c r="S59" s="180"/>
      <c r="T59" s="180"/>
      <c r="U59" s="179"/>
      <c r="V59" s="98"/>
      <c r="W59" s="105">
        <v>44</v>
      </c>
      <c r="X59" s="104" t="s">
        <v>415</v>
      </c>
      <c r="Y59" s="172"/>
      <c r="Z59" s="105">
        <f>44*0.75</f>
        <v>33</v>
      </c>
      <c r="AA59" s="104" t="s">
        <v>287</v>
      </c>
      <c r="AB59" s="172"/>
      <c r="AC59" s="107"/>
    </row>
    <row r="60" spans="1:29" ht="12.75" customHeight="1">
      <c r="A60" s="199"/>
      <c r="B60" s="200"/>
      <c r="C60" s="200"/>
      <c r="D60" s="200"/>
      <c r="E60" s="200"/>
      <c r="F60" s="200"/>
      <c r="G60" s="200"/>
      <c r="H60" s="200"/>
      <c r="I60" s="200"/>
      <c r="J60" s="200"/>
      <c r="K60" s="200"/>
      <c r="L60" s="200"/>
      <c r="M60" s="200"/>
      <c r="N60" s="201"/>
      <c r="O60" s="106"/>
      <c r="P60" s="177"/>
      <c r="Q60" s="181"/>
      <c r="R60" s="109"/>
      <c r="S60" s="180"/>
      <c r="T60" s="180"/>
      <c r="U60" s="179"/>
      <c r="V60" s="98"/>
      <c r="W60" s="110">
        <v>1.1000000000000001</v>
      </c>
      <c r="X60" s="109" t="s">
        <v>287</v>
      </c>
      <c r="Y60" s="173"/>
      <c r="Z60" s="110">
        <f>1.1*0.75</f>
        <v>0.82500000000000007</v>
      </c>
      <c r="AA60" s="109" t="s">
        <v>287</v>
      </c>
      <c r="AB60" s="173"/>
      <c r="AC60" s="111"/>
    </row>
    <row r="61" spans="1:29" ht="12.75" customHeight="1">
      <c r="A61" s="202" t="s">
        <v>310</v>
      </c>
      <c r="B61" s="202"/>
      <c r="C61" s="121" t="s">
        <v>311</v>
      </c>
      <c r="D61" s="203" t="s">
        <v>312</v>
      </c>
      <c r="E61" s="204"/>
      <c r="F61" s="204"/>
      <c r="G61" s="204"/>
      <c r="H61" s="204"/>
      <c r="I61" s="204"/>
      <c r="J61" s="204"/>
      <c r="K61" s="204"/>
      <c r="L61" s="204"/>
      <c r="M61" s="205"/>
      <c r="P61" s="177">
        <v>31</v>
      </c>
      <c r="Q61" s="181" t="s">
        <v>291</v>
      </c>
      <c r="R61" s="100" t="s">
        <v>13</v>
      </c>
      <c r="S61" s="206" t="s">
        <v>292</v>
      </c>
      <c r="T61" s="206" t="s">
        <v>416</v>
      </c>
      <c r="U61" s="206" t="s">
        <v>417</v>
      </c>
      <c r="V61" s="122"/>
      <c r="W61" s="99">
        <v>435</v>
      </c>
      <c r="X61" s="103" t="s">
        <v>286</v>
      </c>
      <c r="Y61" s="171" t="s">
        <v>149</v>
      </c>
      <c r="Z61" s="99">
        <f>435*0.75</f>
        <v>326.25</v>
      </c>
      <c r="AA61" s="103" t="s">
        <v>286</v>
      </c>
      <c r="AB61" s="171" t="s">
        <v>149</v>
      </c>
      <c r="AC61" s="101" t="s">
        <v>39</v>
      </c>
    </row>
    <row r="62" spans="1:29" ht="12.75" customHeight="1">
      <c r="A62" s="181"/>
      <c r="B62" s="181"/>
      <c r="C62" s="123" t="s">
        <v>313</v>
      </c>
      <c r="D62" s="124" t="s">
        <v>314</v>
      </c>
      <c r="E62" s="124" t="s">
        <v>315</v>
      </c>
      <c r="F62" s="124" t="s">
        <v>316</v>
      </c>
      <c r="G62" s="124"/>
      <c r="J62" s="125"/>
      <c r="K62" s="194" t="s">
        <v>317</v>
      </c>
      <c r="L62" s="195"/>
      <c r="M62" s="124" t="s">
        <v>318</v>
      </c>
      <c r="P62" s="177"/>
      <c r="Q62" s="181"/>
      <c r="R62" s="113" t="s">
        <v>215</v>
      </c>
      <c r="S62" s="206"/>
      <c r="T62" s="206"/>
      <c r="U62" s="206"/>
      <c r="V62" s="122"/>
      <c r="W62" s="105">
        <v>14.899999999999997</v>
      </c>
      <c r="X62" s="104" t="s">
        <v>287</v>
      </c>
      <c r="Y62" s="172"/>
      <c r="Z62" s="105">
        <f>14.9*0.75</f>
        <v>11.175000000000001</v>
      </c>
      <c r="AA62" s="104" t="s">
        <v>287</v>
      </c>
      <c r="AB62" s="172"/>
      <c r="AC62" s="107" t="s">
        <v>405</v>
      </c>
    </row>
    <row r="63" spans="1:29" ht="12.75" customHeight="1">
      <c r="A63" s="126" t="s">
        <v>319</v>
      </c>
      <c r="B63" s="127" t="s">
        <v>320</v>
      </c>
      <c r="C63" s="123" t="s">
        <v>321</v>
      </c>
      <c r="D63" s="128">
        <f>12438/31</f>
        <v>401.22580645161293</v>
      </c>
      <c r="E63" s="129">
        <f>446.600000000001/31</f>
        <v>14.406451612903258</v>
      </c>
      <c r="F63" s="129">
        <f>374.4/31</f>
        <v>12.077419354838709</v>
      </c>
      <c r="G63" s="129"/>
      <c r="J63" s="130"/>
      <c r="K63" s="196">
        <f>1752.3/31</f>
        <v>56.525806451612901</v>
      </c>
      <c r="L63" s="197"/>
      <c r="M63" s="131">
        <f>37.9000000000001/31</f>
        <v>1.2225806451612935</v>
      </c>
      <c r="P63" s="177"/>
      <c r="Q63" s="181"/>
      <c r="R63" s="104" t="s">
        <v>220</v>
      </c>
      <c r="S63" s="206"/>
      <c r="T63" s="206"/>
      <c r="U63" s="206"/>
      <c r="V63" s="122"/>
      <c r="W63" s="105">
        <v>16.8</v>
      </c>
      <c r="X63" s="104" t="s">
        <v>418</v>
      </c>
      <c r="Y63" s="172"/>
      <c r="Z63" s="105">
        <f>16.8*0.75</f>
        <v>12.600000000000001</v>
      </c>
      <c r="AA63" s="104" t="s">
        <v>418</v>
      </c>
      <c r="AB63" s="172"/>
      <c r="AC63" s="107"/>
    </row>
    <row r="64" spans="1:29" ht="12.75" customHeight="1">
      <c r="A64" s="126" t="s">
        <v>419</v>
      </c>
      <c r="B64" s="127" t="s">
        <v>320</v>
      </c>
      <c r="C64" s="123" t="s">
        <v>322</v>
      </c>
      <c r="D64" s="128">
        <f>(12438*0.75)/31</f>
        <v>300.91935483870969</v>
      </c>
      <c r="E64" s="129">
        <f>(446.600000000001*0.75)/31</f>
        <v>10.804838709677442</v>
      </c>
      <c r="F64" s="129">
        <f>(374.4*0.75)/31</f>
        <v>9.058064516129031</v>
      </c>
      <c r="G64" s="129"/>
      <c r="J64" s="130"/>
      <c r="K64" s="196">
        <f>(1752.3*0.75)/31</f>
        <v>42.394354838709674</v>
      </c>
      <c r="L64" s="197"/>
      <c r="M64" s="131">
        <f>(37.9000000000001*0.75)/31</f>
        <v>0.91693548387097012</v>
      </c>
      <c r="P64" s="177"/>
      <c r="Q64" s="181"/>
      <c r="R64" s="104" t="s">
        <v>55</v>
      </c>
      <c r="S64" s="206"/>
      <c r="T64" s="206"/>
      <c r="U64" s="206"/>
      <c r="V64" s="122"/>
      <c r="W64" s="105">
        <v>51.600000000000016</v>
      </c>
      <c r="X64" s="104" t="s">
        <v>420</v>
      </c>
      <c r="Y64" s="172"/>
      <c r="Z64" s="105">
        <f>51.6*0.75</f>
        <v>38.700000000000003</v>
      </c>
      <c r="AA64" s="104" t="s">
        <v>420</v>
      </c>
      <c r="AB64" s="172"/>
      <c r="AC64" s="107"/>
    </row>
    <row r="65" spans="1:29" ht="12.75" customHeight="1">
      <c r="A65" s="132"/>
      <c r="B65" s="133"/>
      <c r="C65" s="134"/>
      <c r="D65" s="135"/>
      <c r="E65" s="136"/>
      <c r="F65" s="136"/>
      <c r="G65" s="136"/>
      <c r="H65" s="137"/>
      <c r="I65" s="138"/>
      <c r="J65" s="139"/>
      <c r="K65" s="137"/>
      <c r="L65" s="138"/>
      <c r="P65" s="177"/>
      <c r="Q65" s="181"/>
      <c r="R65" s="109"/>
      <c r="S65" s="206"/>
      <c r="T65" s="206"/>
      <c r="U65" s="206"/>
      <c r="V65" s="122"/>
      <c r="W65" s="110">
        <v>1.1000000000000001</v>
      </c>
      <c r="X65" s="109" t="s">
        <v>420</v>
      </c>
      <c r="Y65" s="173"/>
      <c r="Z65" s="110">
        <f>1.1*0.75</f>
        <v>0.82500000000000007</v>
      </c>
      <c r="AA65" s="109" t="s">
        <v>420</v>
      </c>
      <c r="AB65" s="173"/>
      <c r="AC65" s="111"/>
    </row>
    <row r="66" spans="1:29" ht="12.75" customHeight="1">
      <c r="I66" s="138"/>
      <c r="L66" s="138"/>
      <c r="M66" s="140"/>
      <c r="P66" s="198" t="s">
        <v>323</v>
      </c>
      <c r="Q66" s="198"/>
      <c r="R66" s="198"/>
      <c r="S66" s="198"/>
      <c r="T66" s="198"/>
      <c r="U66" s="198"/>
      <c r="V66" s="198"/>
      <c r="W66" s="198"/>
      <c r="X66" s="198"/>
      <c r="Y66" s="198"/>
      <c r="Z66" s="198"/>
      <c r="AA66" s="198"/>
      <c r="AB66" s="198"/>
      <c r="AC66" s="198"/>
    </row>
    <row r="67" spans="1:29" ht="12.75" customHeight="1">
      <c r="M67" s="140"/>
      <c r="P67" s="141" t="s">
        <v>324</v>
      </c>
      <c r="Q67" s="142"/>
      <c r="R67" s="143"/>
      <c r="S67" s="143"/>
      <c r="T67" s="143"/>
      <c r="U67" s="143"/>
      <c r="V67" s="143"/>
      <c r="W67" s="143"/>
      <c r="X67" s="143"/>
      <c r="AC67" s="143"/>
    </row>
    <row r="68" spans="1:29" ht="12.75" customHeight="1">
      <c r="P68" s="144" t="s">
        <v>325</v>
      </c>
      <c r="Q68" s="145"/>
      <c r="R68" s="146"/>
      <c r="S68" s="147"/>
      <c r="T68" s="147"/>
      <c r="U68" s="147"/>
      <c r="V68" s="147"/>
      <c r="AC68" s="92"/>
    </row>
    <row r="69" spans="1:29" ht="12.75" customHeight="1">
      <c r="P69" s="144" t="s">
        <v>326</v>
      </c>
      <c r="Q69" s="145"/>
      <c r="R69" s="146"/>
      <c r="S69" s="147"/>
      <c r="T69" s="147"/>
      <c r="U69" s="147"/>
      <c r="V69" s="147"/>
      <c r="AC69" s="147"/>
    </row>
    <row r="70" spans="1:29" ht="12.75" customHeight="1">
      <c r="P70" s="148" t="s">
        <v>327</v>
      </c>
      <c r="Q70" s="148"/>
      <c r="R70" s="148"/>
      <c r="S70" s="148"/>
      <c r="T70" s="148"/>
      <c r="U70" s="148"/>
      <c r="V70" s="148"/>
      <c r="AC70" s="149"/>
    </row>
    <row r="71" spans="1:29" ht="12.75" customHeight="1">
      <c r="P71" s="148" t="s">
        <v>328</v>
      </c>
      <c r="Q71" s="148"/>
      <c r="R71" s="148"/>
      <c r="S71" s="148"/>
      <c r="T71" s="148"/>
      <c r="U71" s="148"/>
      <c r="V71" s="148"/>
      <c r="AC71" s="149"/>
    </row>
    <row r="72" spans="1:29" ht="12.75" customHeight="1">
      <c r="K72" s="91"/>
      <c r="M72" s="92"/>
      <c r="P72" s="92"/>
      <c r="T72" s="92"/>
      <c r="AC72" s="150"/>
    </row>
    <row r="73" spans="1:29" ht="12.75" customHeight="1">
      <c r="K73" s="91"/>
      <c r="M73" s="92"/>
      <c r="P73" s="92"/>
      <c r="AC73" s="138"/>
    </row>
    <row r="74" spans="1:29" ht="12.75" customHeight="1">
      <c r="K74" s="91"/>
      <c r="M74" s="92"/>
      <c r="O74" s="139"/>
      <c r="P74" s="92"/>
    </row>
    <row r="75" spans="1:29" ht="12.75" customHeight="1">
      <c r="K75" s="91"/>
      <c r="M75" s="92"/>
      <c r="O75" s="138"/>
      <c r="P75" s="92"/>
    </row>
    <row r="76" spans="1:29" ht="12.75" customHeight="1">
      <c r="K76" s="91"/>
      <c r="M76" s="92"/>
      <c r="O76" s="138"/>
      <c r="P76" s="92"/>
    </row>
    <row r="77" spans="1:29" ht="12.75" customHeight="1">
      <c r="K77" s="91"/>
      <c r="M77" s="92"/>
      <c r="P77" s="92"/>
    </row>
    <row r="78" spans="1:29" ht="12.75" customHeight="1">
      <c r="K78" s="91"/>
      <c r="M78" s="92"/>
      <c r="P78" s="92"/>
    </row>
    <row r="79" spans="1:29" ht="12.75" customHeight="1">
      <c r="K79" s="91"/>
      <c r="M79" s="92"/>
      <c r="P79" s="92"/>
    </row>
    <row r="80" spans="1:29" ht="12.75" customHeight="1">
      <c r="K80" s="91"/>
      <c r="M80" s="92"/>
      <c r="P80" s="92"/>
    </row>
    <row r="81" spans="11:16" ht="12.75" customHeight="1">
      <c r="K81" s="91"/>
      <c r="M81" s="92"/>
      <c r="P81" s="92"/>
    </row>
    <row r="82" spans="11:16" ht="12.75" customHeight="1">
      <c r="K82" s="91"/>
      <c r="M82" s="92"/>
      <c r="P82" s="92"/>
    </row>
    <row r="83" spans="11:16" ht="12.75" customHeight="1"/>
    <row r="84" spans="11:16" ht="12.75" customHeight="1"/>
    <row r="85" spans="11:16" ht="12.75" customHeight="1"/>
    <row r="86" spans="11:16" ht="12.75" customHeight="1"/>
    <row r="87" spans="11:16" ht="12.75" customHeight="1">
      <c r="O87" s="140"/>
    </row>
    <row r="88" spans="11:16" ht="12.75" customHeight="1">
      <c r="O88" s="140"/>
    </row>
    <row r="89" spans="11:16" ht="12.75" customHeight="1"/>
    <row r="90" spans="11:16" ht="12.75" customHeight="1"/>
    <row r="91" spans="11:16" ht="12.75" customHeight="1"/>
    <row r="92" spans="11:16" ht="12.75" customHeight="1"/>
    <row r="93" spans="11:16" ht="12.75" customHeight="1"/>
  </sheetData>
  <mergeCells count="185">
    <mergeCell ref="AB61:AB65"/>
    <mergeCell ref="K62:L62"/>
    <mergeCell ref="K63:L63"/>
    <mergeCell ref="K64:L64"/>
    <mergeCell ref="P66:AC66"/>
    <mergeCell ref="AB56:AB60"/>
    <mergeCell ref="A59:N60"/>
    <mergeCell ref="A61:B62"/>
    <mergeCell ref="D61:M61"/>
    <mergeCell ref="P61:P65"/>
    <mergeCell ref="Q61:Q65"/>
    <mergeCell ref="S61:S65"/>
    <mergeCell ref="T61:T65"/>
    <mergeCell ref="U61:U65"/>
    <mergeCell ref="Y61:Y65"/>
    <mergeCell ref="P56:P60"/>
    <mergeCell ref="Q56:Q60"/>
    <mergeCell ref="S56:S60"/>
    <mergeCell ref="T56:T60"/>
    <mergeCell ref="U56:U60"/>
    <mergeCell ref="Y56:Y60"/>
    <mergeCell ref="Y49:Y53"/>
    <mergeCell ref="AB49:AB53"/>
    <mergeCell ref="A54:A58"/>
    <mergeCell ref="B54:B58"/>
    <mergeCell ref="D54:D58"/>
    <mergeCell ref="E54:E58"/>
    <mergeCell ref="F54:F58"/>
    <mergeCell ref="J54:J58"/>
    <mergeCell ref="M54:M58"/>
    <mergeCell ref="P54:AC55"/>
    <mergeCell ref="M49:M53"/>
    <mergeCell ref="P49:P53"/>
    <mergeCell ref="Q49:Q53"/>
    <mergeCell ref="S49:S53"/>
    <mergeCell ref="T49:T53"/>
    <mergeCell ref="U49:U53"/>
    <mergeCell ref="A49:A53"/>
    <mergeCell ref="B49:B53"/>
    <mergeCell ref="D49:D53"/>
    <mergeCell ref="E49:E53"/>
    <mergeCell ref="F49:F53"/>
    <mergeCell ref="J49:J53"/>
    <mergeCell ref="Q44:Q48"/>
    <mergeCell ref="S44:S48"/>
    <mergeCell ref="T44:T48"/>
    <mergeCell ref="U44:U48"/>
    <mergeCell ref="Y44:Y48"/>
    <mergeCell ref="AB44:AB48"/>
    <mergeCell ref="Y39:Y43"/>
    <mergeCell ref="AB39:AB43"/>
    <mergeCell ref="A44:A48"/>
    <mergeCell ref="B44:B48"/>
    <mergeCell ref="D44:D48"/>
    <mergeCell ref="E44:E48"/>
    <mergeCell ref="F44:F48"/>
    <mergeCell ref="J44:J48"/>
    <mergeCell ref="M44:M48"/>
    <mergeCell ref="P44:P48"/>
    <mergeCell ref="M39:M43"/>
    <mergeCell ref="P39:P43"/>
    <mergeCell ref="Q39:Q43"/>
    <mergeCell ref="S39:S43"/>
    <mergeCell ref="T39:T43"/>
    <mergeCell ref="U39:U43"/>
    <mergeCell ref="A39:A43"/>
    <mergeCell ref="B39:B43"/>
    <mergeCell ref="D39:D43"/>
    <mergeCell ref="E39:E43"/>
    <mergeCell ref="F39:F43"/>
    <mergeCell ref="J39:J43"/>
    <mergeCell ref="Q34:Q38"/>
    <mergeCell ref="S34:S38"/>
    <mergeCell ref="T34:T38"/>
    <mergeCell ref="U34:U38"/>
    <mergeCell ref="Y34:Y38"/>
    <mergeCell ref="AB34:AB38"/>
    <mergeCell ref="AB29:AB33"/>
    <mergeCell ref="A32:N33"/>
    <mergeCell ref="A34:A38"/>
    <mergeCell ref="B34:B38"/>
    <mergeCell ref="D34:D38"/>
    <mergeCell ref="E34:E38"/>
    <mergeCell ref="F34:F38"/>
    <mergeCell ref="J34:J38"/>
    <mergeCell ref="M34:M38"/>
    <mergeCell ref="P34:P38"/>
    <mergeCell ref="P29:P33"/>
    <mergeCell ref="Q29:Q33"/>
    <mergeCell ref="S29:S33"/>
    <mergeCell ref="T29:T33"/>
    <mergeCell ref="U29:U33"/>
    <mergeCell ref="Y29:Y33"/>
    <mergeCell ref="Y22:Y26"/>
    <mergeCell ref="AB22:AB26"/>
    <mergeCell ref="A27:A31"/>
    <mergeCell ref="B27:B31"/>
    <mergeCell ref="D27:D31"/>
    <mergeCell ref="E27:E31"/>
    <mergeCell ref="F27:F31"/>
    <mergeCell ref="J27:J31"/>
    <mergeCell ref="M27:M31"/>
    <mergeCell ref="P27:AC28"/>
    <mergeCell ref="M22:M26"/>
    <mergeCell ref="P22:P26"/>
    <mergeCell ref="Q22:Q26"/>
    <mergeCell ref="S22:S26"/>
    <mergeCell ref="T22:T26"/>
    <mergeCell ref="U22:U26"/>
    <mergeCell ref="A22:A26"/>
    <mergeCell ref="B22:B26"/>
    <mergeCell ref="D22:D26"/>
    <mergeCell ref="E22:E26"/>
    <mergeCell ref="F22:F26"/>
    <mergeCell ref="J22:J26"/>
    <mergeCell ref="Q17:Q21"/>
    <mergeCell ref="S17:S21"/>
    <mergeCell ref="T17:T21"/>
    <mergeCell ref="U17:U21"/>
    <mergeCell ref="Y17:Y21"/>
    <mergeCell ref="AB17:AB21"/>
    <mergeCell ref="Y12:Y16"/>
    <mergeCell ref="AB12:AB16"/>
    <mergeCell ref="A17:A21"/>
    <mergeCell ref="B17:B21"/>
    <mergeCell ref="D17:D21"/>
    <mergeCell ref="E17:E21"/>
    <mergeCell ref="F17:F21"/>
    <mergeCell ref="J17:J21"/>
    <mergeCell ref="M17:M21"/>
    <mergeCell ref="P17:P21"/>
    <mergeCell ref="M12:M16"/>
    <mergeCell ref="P12:P16"/>
    <mergeCell ref="Q12:Q16"/>
    <mergeCell ref="S12:S16"/>
    <mergeCell ref="T12:T16"/>
    <mergeCell ref="U12:U16"/>
    <mergeCell ref="A12:A16"/>
    <mergeCell ref="B12:B16"/>
    <mergeCell ref="D12:D16"/>
    <mergeCell ref="E12:E16"/>
    <mergeCell ref="F12:F16"/>
    <mergeCell ref="J12:J16"/>
    <mergeCell ref="Q7:Q11"/>
    <mergeCell ref="S7:S11"/>
    <mergeCell ref="T7:T11"/>
    <mergeCell ref="U7:U11"/>
    <mergeCell ref="Y7:Y11"/>
    <mergeCell ref="AB7:AB11"/>
    <mergeCell ref="AB3:AB6"/>
    <mergeCell ref="AC3:AC6"/>
    <mergeCell ref="A7:A11"/>
    <mergeCell ref="B7:B11"/>
    <mergeCell ref="D7:D11"/>
    <mergeCell ref="E7:E11"/>
    <mergeCell ref="F7:F11"/>
    <mergeCell ref="J7:J11"/>
    <mergeCell ref="M7:M11"/>
    <mergeCell ref="P7:P11"/>
    <mergeCell ref="J3:J6"/>
    <mergeCell ref="K3:L6"/>
    <mergeCell ref="M3:M6"/>
    <mergeCell ref="N3:N6"/>
    <mergeCell ref="S3:S6"/>
    <mergeCell ref="T3:T6"/>
    <mergeCell ref="P2:P6"/>
    <mergeCell ref="Q2:Q6"/>
    <mergeCell ref="R2:R6"/>
    <mergeCell ref="S2:U2"/>
    <mergeCell ref="W2:Y2"/>
    <mergeCell ref="Z2:AB2"/>
    <mergeCell ref="U3:V6"/>
    <mergeCell ref="W3:X6"/>
    <mergeCell ref="Y3:Y6"/>
    <mergeCell ref="Z3:AA6"/>
    <mergeCell ref="A2:A6"/>
    <mergeCell ref="B2:B6"/>
    <mergeCell ref="C2:C6"/>
    <mergeCell ref="D2:F2"/>
    <mergeCell ref="H2:J2"/>
    <mergeCell ref="K2:M2"/>
    <mergeCell ref="D3:D6"/>
    <mergeCell ref="E3:E6"/>
    <mergeCell ref="F3:G6"/>
    <mergeCell ref="H3:I6"/>
  </mergeCells>
  <phoneticPr fontId="21"/>
  <printOptions horizontalCentered="1" verticalCentered="1"/>
  <pageMargins left="0.39370078740157483" right="0.39370078740157483" top="0.39370078740157483" bottom="0.39370078740157483" header="0" footer="0"/>
  <pageSetup paperSize="12"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195</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196</v>
      </c>
      <c r="C7" s="48" t="s">
        <v>21</v>
      </c>
      <c r="D7" s="49" t="s">
        <v>22</v>
      </c>
      <c r="E7" s="50">
        <v>1</v>
      </c>
      <c r="F7" s="51" t="s">
        <v>23</v>
      </c>
      <c r="G7" s="69"/>
      <c r="H7" s="73" t="s">
        <v>21</v>
      </c>
      <c r="I7" s="49" t="s">
        <v>22</v>
      </c>
      <c r="J7" s="51">
        <f>ROUNDUP(E7*0.75,2)</f>
        <v>0.75</v>
      </c>
      <c r="K7" s="51" t="s">
        <v>23</v>
      </c>
      <c r="L7" s="51"/>
      <c r="M7" s="77" t="e">
        <f>#REF!</f>
        <v>#REF!</v>
      </c>
      <c r="N7" s="65" t="s">
        <v>197</v>
      </c>
      <c r="O7" s="52" t="s">
        <v>19</v>
      </c>
      <c r="P7" s="49"/>
      <c r="Q7" s="53">
        <v>0.1</v>
      </c>
      <c r="R7" s="85">
        <f t="shared" ref="R7:R14" si="0">ROUNDUP(Q7*0.75,2)</f>
        <v>0.08</v>
      </c>
    </row>
    <row r="8" spans="1:19" ht="27.95" customHeight="1">
      <c r="A8" s="212"/>
      <c r="B8" s="65"/>
      <c r="C8" s="48" t="s">
        <v>84</v>
      </c>
      <c r="D8" s="49"/>
      <c r="E8" s="50">
        <v>20</v>
      </c>
      <c r="F8" s="51" t="s">
        <v>16</v>
      </c>
      <c r="G8" s="69"/>
      <c r="H8" s="73" t="s">
        <v>84</v>
      </c>
      <c r="I8" s="49"/>
      <c r="J8" s="51">
        <f>ROUNDUP(E8*0.75,2)</f>
        <v>15</v>
      </c>
      <c r="K8" s="51" t="s">
        <v>16</v>
      </c>
      <c r="L8" s="51"/>
      <c r="M8" s="77" t="e">
        <f>#REF!</f>
        <v>#REF!</v>
      </c>
      <c r="N8" s="65" t="s">
        <v>198</v>
      </c>
      <c r="O8" s="52" t="s">
        <v>20</v>
      </c>
      <c r="P8" s="49"/>
      <c r="Q8" s="53">
        <v>0.01</v>
      </c>
      <c r="R8" s="85">
        <f t="shared" si="0"/>
        <v>0.01</v>
      </c>
    </row>
    <row r="9" spans="1:19" ht="27.95" customHeight="1">
      <c r="A9" s="212"/>
      <c r="B9" s="65"/>
      <c r="C9" s="48" t="s">
        <v>15</v>
      </c>
      <c r="D9" s="49"/>
      <c r="E9" s="50">
        <v>20</v>
      </c>
      <c r="F9" s="51" t="s">
        <v>16</v>
      </c>
      <c r="G9" s="69"/>
      <c r="H9" s="73" t="s">
        <v>15</v>
      </c>
      <c r="I9" s="49"/>
      <c r="J9" s="51">
        <f>ROUNDUP(E9*0.75,2)</f>
        <v>15</v>
      </c>
      <c r="K9" s="51" t="s">
        <v>16</v>
      </c>
      <c r="L9" s="51"/>
      <c r="M9" s="77" t="e">
        <f>ROUND(#REF!+(#REF!*6/100),2)</f>
        <v>#REF!</v>
      </c>
      <c r="N9" s="65" t="s">
        <v>199</v>
      </c>
      <c r="O9" s="52" t="s">
        <v>18</v>
      </c>
      <c r="P9" s="49"/>
      <c r="Q9" s="53">
        <v>2</v>
      </c>
      <c r="R9" s="85">
        <f t="shared" si="0"/>
        <v>1.5</v>
      </c>
    </row>
    <row r="10" spans="1:19" ht="27.95" customHeight="1">
      <c r="A10" s="212"/>
      <c r="B10" s="65"/>
      <c r="C10" s="48" t="s">
        <v>37</v>
      </c>
      <c r="D10" s="49"/>
      <c r="E10" s="50">
        <v>2</v>
      </c>
      <c r="F10" s="51" t="s">
        <v>16</v>
      </c>
      <c r="G10" s="69"/>
      <c r="H10" s="73" t="s">
        <v>37</v>
      </c>
      <c r="I10" s="49"/>
      <c r="J10" s="51">
        <f>ROUNDUP(E10*0.75,2)</f>
        <v>1.5</v>
      </c>
      <c r="K10" s="51" t="s">
        <v>16</v>
      </c>
      <c r="L10" s="51"/>
      <c r="M10" s="77" t="e">
        <f>ROUND(#REF!+(#REF!*10/100),2)</f>
        <v>#REF!</v>
      </c>
      <c r="N10" s="82" t="s">
        <v>262</v>
      </c>
      <c r="O10" s="52" t="s">
        <v>46</v>
      </c>
      <c r="P10" s="49"/>
      <c r="Q10" s="53">
        <v>15</v>
      </c>
      <c r="R10" s="85">
        <f t="shared" si="0"/>
        <v>11.25</v>
      </c>
    </row>
    <row r="11" spans="1:19" ht="27.95" customHeight="1">
      <c r="A11" s="212"/>
      <c r="B11" s="65"/>
      <c r="C11" s="48"/>
      <c r="D11" s="49"/>
      <c r="E11" s="50"/>
      <c r="F11" s="51"/>
      <c r="G11" s="69"/>
      <c r="H11" s="73"/>
      <c r="I11" s="49"/>
      <c r="J11" s="51"/>
      <c r="K11" s="51"/>
      <c r="L11" s="51"/>
      <c r="M11" s="77"/>
      <c r="N11" s="65" t="s">
        <v>253</v>
      </c>
      <c r="O11" s="52" t="s">
        <v>32</v>
      </c>
      <c r="P11" s="49"/>
      <c r="Q11" s="53">
        <v>1</v>
      </c>
      <c r="R11" s="85">
        <f t="shared" si="0"/>
        <v>0.75</v>
      </c>
    </row>
    <row r="12" spans="1:19" ht="27.95" customHeight="1">
      <c r="A12" s="212"/>
      <c r="B12" s="65"/>
      <c r="C12" s="48"/>
      <c r="D12" s="49"/>
      <c r="E12" s="50"/>
      <c r="F12" s="51"/>
      <c r="G12" s="69"/>
      <c r="H12" s="73"/>
      <c r="I12" s="49"/>
      <c r="J12" s="51"/>
      <c r="K12" s="51"/>
      <c r="L12" s="51"/>
      <c r="M12" s="77"/>
      <c r="N12" s="82" t="s">
        <v>267</v>
      </c>
      <c r="O12" s="52" t="s">
        <v>75</v>
      </c>
      <c r="P12" s="49"/>
      <c r="Q12" s="53">
        <v>1.5</v>
      </c>
      <c r="R12" s="85">
        <f t="shared" si="0"/>
        <v>1.1300000000000001</v>
      </c>
    </row>
    <row r="13" spans="1:19" ht="27.95" customHeight="1">
      <c r="A13" s="212"/>
      <c r="B13" s="65"/>
      <c r="C13" s="48"/>
      <c r="D13" s="49"/>
      <c r="E13" s="50"/>
      <c r="F13" s="51"/>
      <c r="G13" s="69"/>
      <c r="H13" s="73"/>
      <c r="I13" s="49"/>
      <c r="J13" s="51"/>
      <c r="K13" s="51"/>
      <c r="L13" s="51"/>
      <c r="M13" s="77"/>
      <c r="N13" s="65" t="s">
        <v>14</v>
      </c>
      <c r="O13" s="52" t="s">
        <v>33</v>
      </c>
      <c r="P13" s="49" t="s">
        <v>34</v>
      </c>
      <c r="Q13" s="53">
        <v>1.5</v>
      </c>
      <c r="R13" s="85">
        <f t="shared" si="0"/>
        <v>1.1300000000000001</v>
      </c>
    </row>
    <row r="14" spans="1:19" ht="27.95" customHeight="1">
      <c r="A14" s="212"/>
      <c r="B14" s="65"/>
      <c r="C14" s="48"/>
      <c r="D14" s="49"/>
      <c r="E14" s="50"/>
      <c r="F14" s="51"/>
      <c r="G14" s="69"/>
      <c r="H14" s="73"/>
      <c r="I14" s="49"/>
      <c r="J14" s="51"/>
      <c r="K14" s="51"/>
      <c r="L14" s="51"/>
      <c r="M14" s="77"/>
      <c r="N14" s="65"/>
      <c r="O14" s="52" t="s">
        <v>45</v>
      </c>
      <c r="P14" s="49"/>
      <c r="Q14" s="53">
        <v>1</v>
      </c>
      <c r="R14" s="85">
        <f t="shared" si="0"/>
        <v>0.75</v>
      </c>
    </row>
    <row r="15" spans="1:19" ht="27.95" customHeight="1">
      <c r="A15" s="212"/>
      <c r="B15" s="64"/>
      <c r="C15" s="42"/>
      <c r="D15" s="43"/>
      <c r="E15" s="44"/>
      <c r="F15" s="45"/>
      <c r="G15" s="68"/>
      <c r="H15" s="72"/>
      <c r="I15" s="43"/>
      <c r="J15" s="45"/>
      <c r="K15" s="45"/>
      <c r="L15" s="45"/>
      <c r="M15" s="76"/>
      <c r="N15" s="64"/>
      <c r="O15" s="46"/>
      <c r="P15" s="43"/>
      <c r="Q15" s="47"/>
      <c r="R15" s="84"/>
    </row>
    <row r="16" spans="1:19" ht="27.95" customHeight="1">
      <c r="A16" s="212"/>
      <c r="B16" s="65" t="s">
        <v>201</v>
      </c>
      <c r="C16" s="48" t="s">
        <v>36</v>
      </c>
      <c r="D16" s="49"/>
      <c r="E16" s="50">
        <v>30</v>
      </c>
      <c r="F16" s="51" t="s">
        <v>16</v>
      </c>
      <c r="G16" s="69"/>
      <c r="H16" s="73" t="s">
        <v>36</v>
      </c>
      <c r="I16" s="49"/>
      <c r="J16" s="51">
        <f>ROUNDUP(E16*0.75,2)</f>
        <v>22.5</v>
      </c>
      <c r="K16" s="51" t="s">
        <v>16</v>
      </c>
      <c r="L16" s="51"/>
      <c r="M16" s="77" t="e">
        <f>ROUND(#REF!+(#REF!*15/100),2)</f>
        <v>#REF!</v>
      </c>
      <c r="N16" s="65" t="s">
        <v>202</v>
      </c>
      <c r="O16" s="52" t="s">
        <v>32</v>
      </c>
      <c r="P16" s="49"/>
      <c r="Q16" s="53">
        <v>0.5</v>
      </c>
      <c r="R16" s="85">
        <f>ROUNDUP(Q16*0.75,2)</f>
        <v>0.38</v>
      </c>
    </row>
    <row r="17" spans="1:18" ht="27.95" customHeight="1">
      <c r="A17" s="212"/>
      <c r="B17" s="65"/>
      <c r="C17" s="48" t="s">
        <v>29</v>
      </c>
      <c r="D17" s="49"/>
      <c r="E17" s="50">
        <v>10</v>
      </c>
      <c r="F17" s="51" t="s">
        <v>16</v>
      </c>
      <c r="G17" s="69"/>
      <c r="H17" s="73" t="s">
        <v>29</v>
      </c>
      <c r="I17" s="49"/>
      <c r="J17" s="51">
        <f>ROUNDUP(E17*0.75,2)</f>
        <v>7.5</v>
      </c>
      <c r="K17" s="51" t="s">
        <v>16</v>
      </c>
      <c r="L17" s="51"/>
      <c r="M17" s="77" t="e">
        <f>ROUND(#REF!+(#REF!*10/100),2)</f>
        <v>#REF!</v>
      </c>
      <c r="N17" s="65" t="s">
        <v>176</v>
      </c>
      <c r="O17" s="52" t="s">
        <v>19</v>
      </c>
      <c r="P17" s="49"/>
      <c r="Q17" s="53">
        <v>0.1</v>
      </c>
      <c r="R17" s="85">
        <f>ROUNDUP(Q17*0.75,2)</f>
        <v>0.08</v>
      </c>
    </row>
    <row r="18" spans="1:18" ht="27.95" customHeight="1">
      <c r="A18" s="212"/>
      <c r="B18" s="65"/>
      <c r="C18" s="48" t="s">
        <v>50</v>
      </c>
      <c r="D18" s="49"/>
      <c r="E18" s="50">
        <v>5</v>
      </c>
      <c r="F18" s="51" t="s">
        <v>16</v>
      </c>
      <c r="G18" s="69"/>
      <c r="H18" s="73" t="s">
        <v>50</v>
      </c>
      <c r="I18" s="49"/>
      <c r="J18" s="51">
        <f>ROUNDUP(E18*0.75,2)</f>
        <v>3.75</v>
      </c>
      <c r="K18" s="51" t="s">
        <v>16</v>
      </c>
      <c r="L18" s="51"/>
      <c r="M18" s="77" t="e">
        <f>ROUND(#REF!+(#REF!*15/100),2)</f>
        <v>#REF!</v>
      </c>
      <c r="N18" s="65" t="s">
        <v>14</v>
      </c>
      <c r="O18" s="52" t="s">
        <v>30</v>
      </c>
      <c r="P18" s="49"/>
      <c r="Q18" s="53">
        <v>2</v>
      </c>
      <c r="R18" s="85">
        <f>ROUNDUP(Q18*0.75,2)</f>
        <v>1.5</v>
      </c>
    </row>
    <row r="19" spans="1:18" ht="27.95" customHeight="1">
      <c r="A19" s="212"/>
      <c r="B19" s="64"/>
      <c r="C19" s="42"/>
      <c r="D19" s="43"/>
      <c r="E19" s="44"/>
      <c r="F19" s="45"/>
      <c r="G19" s="68"/>
      <c r="H19" s="72"/>
      <c r="I19" s="43"/>
      <c r="J19" s="45"/>
      <c r="K19" s="45"/>
      <c r="L19" s="45"/>
      <c r="M19" s="76"/>
      <c r="N19" s="64"/>
      <c r="O19" s="46"/>
      <c r="P19" s="43"/>
      <c r="Q19" s="47"/>
      <c r="R19" s="84"/>
    </row>
    <row r="20" spans="1:18" ht="27.95" customHeight="1">
      <c r="A20" s="212"/>
      <c r="B20" s="65" t="s">
        <v>55</v>
      </c>
      <c r="C20" s="48" t="s">
        <v>89</v>
      </c>
      <c r="D20" s="49"/>
      <c r="E20" s="50">
        <v>5</v>
      </c>
      <c r="F20" s="51" t="s">
        <v>16</v>
      </c>
      <c r="G20" s="69"/>
      <c r="H20" s="73" t="s">
        <v>89</v>
      </c>
      <c r="I20" s="49"/>
      <c r="J20" s="51">
        <f>ROUNDUP(E20*0.75,2)</f>
        <v>3.75</v>
      </c>
      <c r="K20" s="51" t="s">
        <v>16</v>
      </c>
      <c r="L20" s="51"/>
      <c r="M20" s="77" t="e">
        <f>ROUND(#REF!+(#REF!*10/100),2)</f>
        <v>#REF!</v>
      </c>
      <c r="N20" s="65" t="s">
        <v>14</v>
      </c>
      <c r="O20" s="52" t="s">
        <v>31</v>
      </c>
      <c r="P20" s="49"/>
      <c r="Q20" s="53">
        <v>100</v>
      </c>
      <c r="R20" s="85">
        <f>ROUNDUP(Q20*0.75,2)</f>
        <v>75</v>
      </c>
    </row>
    <row r="21" spans="1:18" ht="27.95" customHeight="1">
      <c r="A21" s="212"/>
      <c r="B21" s="65"/>
      <c r="C21" s="48" t="s">
        <v>146</v>
      </c>
      <c r="D21" s="49"/>
      <c r="E21" s="50">
        <v>3</v>
      </c>
      <c r="F21" s="51" t="s">
        <v>16</v>
      </c>
      <c r="G21" s="69"/>
      <c r="H21" s="73" t="s">
        <v>146</v>
      </c>
      <c r="I21" s="49"/>
      <c r="J21" s="51">
        <f>ROUNDUP(E21*0.75,2)</f>
        <v>2.25</v>
      </c>
      <c r="K21" s="51" t="s">
        <v>16</v>
      </c>
      <c r="L21" s="51"/>
      <c r="M21" s="77" t="e">
        <f>#REF!</f>
        <v>#REF!</v>
      </c>
      <c r="N21" s="65"/>
      <c r="O21" s="52" t="s">
        <v>57</v>
      </c>
      <c r="P21" s="49"/>
      <c r="Q21" s="53">
        <v>3</v>
      </c>
      <c r="R21" s="85">
        <f>ROUNDUP(Q21*0.75,2)</f>
        <v>2.25</v>
      </c>
    </row>
    <row r="22" spans="1:18" ht="27.95" customHeight="1">
      <c r="A22" s="212"/>
      <c r="B22" s="64"/>
      <c r="C22" s="42"/>
      <c r="D22" s="43"/>
      <c r="E22" s="44"/>
      <c r="F22" s="45"/>
      <c r="G22" s="68"/>
      <c r="H22" s="72"/>
      <c r="I22" s="43"/>
      <c r="J22" s="45"/>
      <c r="K22" s="45"/>
      <c r="L22" s="45"/>
      <c r="M22" s="76"/>
      <c r="N22" s="64"/>
      <c r="O22" s="46"/>
      <c r="P22" s="43"/>
      <c r="Q22" s="47"/>
      <c r="R22" s="84"/>
    </row>
    <row r="23" spans="1:18" ht="27.95" customHeight="1">
      <c r="A23" s="212"/>
      <c r="B23" s="65" t="s">
        <v>108</v>
      </c>
      <c r="C23" s="48" t="s">
        <v>109</v>
      </c>
      <c r="D23" s="49"/>
      <c r="E23" s="79">
        <v>0.125</v>
      </c>
      <c r="F23" s="51" t="s">
        <v>23</v>
      </c>
      <c r="G23" s="69"/>
      <c r="H23" s="73" t="s">
        <v>109</v>
      </c>
      <c r="I23" s="49"/>
      <c r="J23" s="51">
        <f>ROUNDUP(E23*0.75,2)</f>
        <v>9.9999999999999992E-2</v>
      </c>
      <c r="K23" s="51" t="s">
        <v>23</v>
      </c>
      <c r="L23" s="51"/>
      <c r="M23" s="77" t="e">
        <f>#REF!</f>
        <v>#REF!</v>
      </c>
      <c r="N23" s="65" t="s">
        <v>59</v>
      </c>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c r="A1" s="1" t="s">
        <v>12</v>
      </c>
      <c r="B1" s="1"/>
      <c r="C1" s="2"/>
      <c r="D1" s="3"/>
      <c r="E1" s="2"/>
      <c r="F1" s="2"/>
      <c r="G1" s="2"/>
      <c r="H1" s="207"/>
      <c r="I1" s="207"/>
      <c r="J1" s="208"/>
      <c r="K1" s="208"/>
      <c r="L1" s="208"/>
      <c r="M1" s="208"/>
      <c r="N1" s="208"/>
      <c r="O1" s="2"/>
      <c r="P1" s="2"/>
      <c r="Q1" s="4"/>
      <c r="R1" s="4"/>
      <c r="S1" s="3"/>
    </row>
    <row r="2" spans="1:26" ht="36.75" customHeight="1">
      <c r="A2" s="207" t="s">
        <v>0</v>
      </c>
      <c r="B2" s="207"/>
      <c r="C2" s="208"/>
      <c r="D2" s="208"/>
      <c r="E2" s="208"/>
      <c r="F2" s="208"/>
      <c r="G2" s="208"/>
      <c r="H2" s="208"/>
      <c r="I2" s="208"/>
      <c r="J2" s="208"/>
      <c r="K2" s="208"/>
      <c r="L2" s="208"/>
      <c r="M2" s="208"/>
      <c r="N2" s="208"/>
      <c r="O2" s="208"/>
      <c r="P2" s="208"/>
      <c r="Q2" s="208"/>
      <c r="R2" s="208"/>
      <c r="S2" s="3"/>
    </row>
    <row r="3" spans="1:26" ht="22.5" customHeight="1">
      <c r="A3" s="5"/>
      <c r="B3" s="214" t="s">
        <v>264</v>
      </c>
      <c r="C3" s="214"/>
      <c r="D3" s="3"/>
      <c r="E3" s="6"/>
      <c r="F3" s="2"/>
      <c r="G3" s="2"/>
      <c r="H3" s="2"/>
      <c r="I3" s="3"/>
      <c r="J3" s="2"/>
      <c r="K3" s="7"/>
      <c r="L3" s="7"/>
      <c r="M3" s="8"/>
      <c r="N3" s="3"/>
      <c r="O3"/>
      <c r="P3"/>
      <c r="Q3"/>
      <c r="R3"/>
      <c r="S3"/>
      <c r="T3" s="3"/>
      <c r="U3" s="3"/>
      <c r="V3" s="3"/>
      <c r="W3" s="3"/>
      <c r="X3" s="3"/>
      <c r="Y3" s="3"/>
      <c r="Z3" s="3"/>
    </row>
    <row r="4" spans="1:26" ht="22.5" customHeight="1">
      <c r="A4" s="5"/>
      <c r="B4" s="214"/>
      <c r="C4" s="214"/>
      <c r="D4" s="9"/>
      <c r="E4" s="6"/>
      <c r="F4" s="2"/>
      <c r="G4" s="2"/>
      <c r="H4" s="2"/>
      <c r="I4" s="9"/>
      <c r="J4" s="2"/>
      <c r="K4" s="7"/>
      <c r="L4" s="7"/>
      <c r="M4" s="8"/>
      <c r="N4" s="89" t="s">
        <v>263</v>
      </c>
      <c r="O4"/>
      <c r="P4"/>
      <c r="Q4"/>
      <c r="R4"/>
      <c r="S4"/>
      <c r="T4" s="3"/>
      <c r="U4" s="3"/>
      <c r="V4" s="3"/>
      <c r="W4" s="3"/>
      <c r="X4" s="3"/>
      <c r="Y4" s="3"/>
      <c r="Z4" s="3"/>
    </row>
    <row r="5" spans="1:26" ht="27.75" customHeight="1" thickBot="1">
      <c r="A5" s="209" t="s">
        <v>203</v>
      </c>
      <c r="B5" s="210"/>
      <c r="C5" s="210"/>
      <c r="D5" s="210"/>
      <c r="E5" s="210"/>
      <c r="F5" s="210"/>
      <c r="G5" s="2"/>
      <c r="H5" s="2"/>
      <c r="I5" s="12"/>
      <c r="J5" s="2"/>
      <c r="K5" s="7"/>
      <c r="L5" s="7"/>
      <c r="M5" s="10"/>
      <c r="N5" s="2"/>
      <c r="O5" s="13"/>
      <c r="P5" s="12"/>
      <c r="Q5" s="14"/>
      <c r="R5" s="14"/>
      <c r="S5" s="11"/>
    </row>
    <row r="6" spans="1:26" customFormat="1" ht="42" customHeight="1" thickBot="1">
      <c r="A6" s="15"/>
      <c r="B6" s="16" t="s">
        <v>1</v>
      </c>
      <c r="C6" s="17" t="s">
        <v>2</v>
      </c>
      <c r="D6" s="18" t="s">
        <v>272</v>
      </c>
      <c r="E6" s="34" t="s">
        <v>6</v>
      </c>
      <c r="F6" s="19" t="s">
        <v>4</v>
      </c>
      <c r="G6" s="17" t="s">
        <v>5</v>
      </c>
      <c r="H6" s="16" t="s">
        <v>2</v>
      </c>
      <c r="I6" s="18" t="s">
        <v>272</v>
      </c>
      <c r="J6" s="35" t="s">
        <v>3</v>
      </c>
      <c r="K6" s="19" t="s">
        <v>4</v>
      </c>
      <c r="L6" s="19" t="s">
        <v>5</v>
      </c>
      <c r="M6" s="21" t="s">
        <v>7</v>
      </c>
      <c r="N6" s="22" t="s">
        <v>8</v>
      </c>
      <c r="O6" s="19" t="s">
        <v>9</v>
      </c>
      <c r="P6" s="23" t="s">
        <v>272</v>
      </c>
      <c r="Q6" s="20" t="s">
        <v>11</v>
      </c>
      <c r="R6" s="24" t="s">
        <v>10</v>
      </c>
      <c r="S6" s="25"/>
    </row>
    <row r="7" spans="1:26" ht="27.95" customHeight="1">
      <c r="A7" s="211" t="s">
        <v>38</v>
      </c>
      <c r="B7" s="63" t="s">
        <v>204</v>
      </c>
      <c r="C7" s="36" t="s">
        <v>29</v>
      </c>
      <c r="D7" s="37"/>
      <c r="E7" s="38">
        <v>10</v>
      </c>
      <c r="F7" s="39" t="s">
        <v>16</v>
      </c>
      <c r="G7" s="67"/>
      <c r="H7" s="71" t="s">
        <v>29</v>
      </c>
      <c r="I7" s="37"/>
      <c r="J7" s="39">
        <f t="shared" ref="J7:J13" si="0">ROUNDUP(E7*0.75,2)</f>
        <v>7.5</v>
      </c>
      <c r="K7" s="39" t="s">
        <v>16</v>
      </c>
      <c r="L7" s="39"/>
      <c r="M7" s="75" t="e">
        <f>ROUND(#REF!+(#REF!*10/100),2)</f>
        <v>#REF!</v>
      </c>
      <c r="N7" s="63" t="s">
        <v>205</v>
      </c>
      <c r="O7" s="40" t="s">
        <v>13</v>
      </c>
      <c r="P7" s="37"/>
      <c r="Q7" s="41">
        <v>110</v>
      </c>
      <c r="R7" s="83">
        <f>ROUNDUP(Q7*0.75,2)</f>
        <v>82.5</v>
      </c>
    </row>
    <row r="8" spans="1:26" ht="27.95" customHeight="1">
      <c r="A8" s="212"/>
      <c r="B8" s="65"/>
      <c r="C8" s="48" t="s">
        <v>67</v>
      </c>
      <c r="D8" s="49"/>
      <c r="E8" s="50">
        <v>30</v>
      </c>
      <c r="F8" s="51" t="s">
        <v>16</v>
      </c>
      <c r="G8" s="69"/>
      <c r="H8" s="73" t="s">
        <v>67</v>
      </c>
      <c r="I8" s="49"/>
      <c r="J8" s="51">
        <f t="shared" si="0"/>
        <v>22.5</v>
      </c>
      <c r="K8" s="51" t="s">
        <v>16</v>
      </c>
      <c r="L8" s="51"/>
      <c r="M8" s="77" t="e">
        <f>#REF!</f>
        <v>#REF!</v>
      </c>
      <c r="N8" s="65" t="s">
        <v>248</v>
      </c>
      <c r="O8" s="52" t="s">
        <v>66</v>
      </c>
      <c r="P8" s="49" t="s">
        <v>40</v>
      </c>
      <c r="Q8" s="53">
        <v>1</v>
      </c>
      <c r="R8" s="85">
        <f>ROUNDUP(Q8*0.75,2)</f>
        <v>0.75</v>
      </c>
    </row>
    <row r="9" spans="1:26" ht="27.95" customHeight="1">
      <c r="A9" s="212"/>
      <c r="B9" s="65"/>
      <c r="C9" s="48" t="s">
        <v>15</v>
      </c>
      <c r="D9" s="49"/>
      <c r="E9" s="50">
        <v>40</v>
      </c>
      <c r="F9" s="51" t="s">
        <v>16</v>
      </c>
      <c r="G9" s="69"/>
      <c r="H9" s="73" t="s">
        <v>15</v>
      </c>
      <c r="I9" s="49"/>
      <c r="J9" s="51">
        <f t="shared" si="0"/>
        <v>30</v>
      </c>
      <c r="K9" s="51" t="s">
        <v>16</v>
      </c>
      <c r="L9" s="51"/>
      <c r="M9" s="77" t="e">
        <f>ROUND(#REF!+(#REF!*6/100),2)</f>
        <v>#REF!</v>
      </c>
      <c r="N9" s="65" t="s">
        <v>249</v>
      </c>
      <c r="O9" s="52" t="s">
        <v>81</v>
      </c>
      <c r="P9" s="49" t="s">
        <v>82</v>
      </c>
      <c r="Q9" s="53">
        <v>0.5</v>
      </c>
      <c r="R9" s="85">
        <f>ROUNDUP(Q9*0.75,2)</f>
        <v>0.38</v>
      </c>
    </row>
    <row r="10" spans="1:26" ht="27.95" customHeight="1">
      <c r="A10" s="212"/>
      <c r="B10" s="65"/>
      <c r="C10" s="48" t="s">
        <v>208</v>
      </c>
      <c r="D10" s="49"/>
      <c r="E10" s="50">
        <v>5</v>
      </c>
      <c r="F10" s="51" t="s">
        <v>16</v>
      </c>
      <c r="G10" s="69"/>
      <c r="H10" s="73" t="s">
        <v>208</v>
      </c>
      <c r="I10" s="49"/>
      <c r="J10" s="51">
        <f t="shared" si="0"/>
        <v>3.75</v>
      </c>
      <c r="K10" s="51" t="s">
        <v>16</v>
      </c>
      <c r="L10" s="51"/>
      <c r="M10" s="77" t="e">
        <f>ROUND(#REF!+(#REF!*10/100),2)</f>
        <v>#REF!</v>
      </c>
      <c r="N10" s="86" t="s">
        <v>246</v>
      </c>
      <c r="O10" s="52" t="s">
        <v>18</v>
      </c>
      <c r="P10" s="49"/>
      <c r="Q10" s="53">
        <v>2</v>
      </c>
      <c r="R10" s="85">
        <f>ROUNDUP(Q10*0.75,2)</f>
        <v>1.5</v>
      </c>
    </row>
    <row r="11" spans="1:26" ht="27.95" customHeight="1">
      <c r="A11" s="212"/>
      <c r="B11" s="65"/>
      <c r="C11" s="48" t="s">
        <v>209</v>
      </c>
      <c r="D11" s="49" t="s">
        <v>82</v>
      </c>
      <c r="E11" s="50">
        <v>10</v>
      </c>
      <c r="F11" s="51" t="s">
        <v>16</v>
      </c>
      <c r="G11" s="69"/>
      <c r="H11" s="73" t="s">
        <v>209</v>
      </c>
      <c r="I11" s="49" t="s">
        <v>82</v>
      </c>
      <c r="J11" s="51">
        <f t="shared" si="0"/>
        <v>7.5</v>
      </c>
      <c r="K11" s="51" t="s">
        <v>16</v>
      </c>
      <c r="L11" s="51"/>
      <c r="M11" s="77" t="e">
        <f>#REF!</f>
        <v>#REF!</v>
      </c>
      <c r="N11" s="65" t="s">
        <v>247</v>
      </c>
      <c r="O11" s="52" t="s">
        <v>46</v>
      </c>
      <c r="P11" s="49"/>
      <c r="Q11" s="53">
        <v>80</v>
      </c>
      <c r="R11" s="85">
        <f>ROUNDUP(Q11*0.75,2)</f>
        <v>60</v>
      </c>
    </row>
    <row r="12" spans="1:26" ht="27.95" customHeight="1">
      <c r="A12" s="212"/>
      <c r="B12" s="65"/>
      <c r="C12" s="48" t="s">
        <v>39</v>
      </c>
      <c r="D12" s="49" t="s">
        <v>40</v>
      </c>
      <c r="E12" s="50">
        <v>40</v>
      </c>
      <c r="F12" s="51" t="s">
        <v>41</v>
      </c>
      <c r="G12" s="69"/>
      <c r="H12" s="73" t="s">
        <v>39</v>
      </c>
      <c r="I12" s="49" t="s">
        <v>40</v>
      </c>
      <c r="J12" s="51">
        <f t="shared" si="0"/>
        <v>30</v>
      </c>
      <c r="K12" s="51" t="s">
        <v>41</v>
      </c>
      <c r="L12" s="51"/>
      <c r="M12" s="77" t="e">
        <f>#REF!</f>
        <v>#REF!</v>
      </c>
      <c r="N12" s="65" t="s">
        <v>206</v>
      </c>
      <c r="O12" s="52"/>
      <c r="P12" s="49"/>
      <c r="Q12" s="53"/>
      <c r="R12" s="85"/>
    </row>
    <row r="13" spans="1:26" ht="27.95" customHeight="1">
      <c r="A13" s="212"/>
      <c r="B13" s="65"/>
      <c r="C13" s="48" t="s">
        <v>26</v>
      </c>
      <c r="D13" s="49"/>
      <c r="E13" s="50">
        <v>0.5</v>
      </c>
      <c r="F13" s="51" t="s">
        <v>16</v>
      </c>
      <c r="G13" s="69"/>
      <c r="H13" s="73" t="s">
        <v>26</v>
      </c>
      <c r="I13" s="49"/>
      <c r="J13" s="51">
        <f t="shared" si="0"/>
        <v>0.38</v>
      </c>
      <c r="K13" s="51" t="s">
        <v>16</v>
      </c>
      <c r="L13" s="51"/>
      <c r="M13" s="77" t="e">
        <f>ROUND(#REF!+(#REF!*10/100),2)</f>
        <v>#REF!</v>
      </c>
      <c r="N13" s="65" t="s">
        <v>207</v>
      </c>
      <c r="O13" s="52"/>
      <c r="P13" s="49"/>
      <c r="Q13" s="53"/>
      <c r="R13" s="85"/>
    </row>
    <row r="14" spans="1:26" ht="27.95" customHeight="1">
      <c r="A14" s="212"/>
      <c r="B14" s="64"/>
      <c r="C14" s="42"/>
      <c r="D14" s="43"/>
      <c r="E14" s="44"/>
      <c r="F14" s="45"/>
      <c r="G14" s="68"/>
      <c r="H14" s="72"/>
      <c r="I14" s="43"/>
      <c r="J14" s="45"/>
      <c r="K14" s="45"/>
      <c r="L14" s="45"/>
      <c r="M14" s="76"/>
      <c r="N14" s="64" t="s">
        <v>14</v>
      </c>
      <c r="O14" s="46"/>
      <c r="P14" s="43"/>
      <c r="Q14" s="47"/>
      <c r="R14" s="84"/>
    </row>
    <row r="15" spans="1:26" ht="27.95" customHeight="1">
      <c r="A15" s="212"/>
      <c r="B15" s="65" t="s">
        <v>210</v>
      </c>
      <c r="C15" s="48" t="s">
        <v>17</v>
      </c>
      <c r="D15" s="49"/>
      <c r="E15" s="50">
        <v>30</v>
      </c>
      <c r="F15" s="51" t="s">
        <v>16</v>
      </c>
      <c r="G15" s="69"/>
      <c r="H15" s="73" t="s">
        <v>17</v>
      </c>
      <c r="I15" s="49"/>
      <c r="J15" s="51">
        <f>ROUNDUP(E15*0.75,2)</f>
        <v>22.5</v>
      </c>
      <c r="K15" s="51" t="s">
        <v>16</v>
      </c>
      <c r="L15" s="51"/>
      <c r="M15" s="77" t="e">
        <f>ROUND(#REF!+(#REF!*10/100),2)</f>
        <v>#REF!</v>
      </c>
      <c r="N15" s="65" t="s">
        <v>211</v>
      </c>
      <c r="O15" s="52" t="s">
        <v>32</v>
      </c>
      <c r="P15" s="49"/>
      <c r="Q15" s="53">
        <v>1</v>
      </c>
      <c r="R15" s="85">
        <f>ROUNDUP(Q15*0.75,2)</f>
        <v>0.75</v>
      </c>
    </row>
    <row r="16" spans="1:26" ht="27.95" customHeight="1">
      <c r="A16" s="212"/>
      <c r="B16" s="65"/>
      <c r="C16" s="48" t="s">
        <v>128</v>
      </c>
      <c r="D16" s="49"/>
      <c r="E16" s="50">
        <v>10</v>
      </c>
      <c r="F16" s="51" t="s">
        <v>16</v>
      </c>
      <c r="G16" s="69"/>
      <c r="H16" s="73" t="s">
        <v>128</v>
      </c>
      <c r="I16" s="49"/>
      <c r="J16" s="51">
        <f>ROUNDUP(E16*0.75,2)</f>
        <v>7.5</v>
      </c>
      <c r="K16" s="51" t="s">
        <v>16</v>
      </c>
      <c r="L16" s="51"/>
      <c r="M16" s="77" t="e">
        <f>ROUND(#REF!+(#REF!*50/100),2)</f>
        <v>#REF!</v>
      </c>
      <c r="N16" s="65" t="s">
        <v>212</v>
      </c>
      <c r="O16" s="52" t="s">
        <v>19</v>
      </c>
      <c r="P16" s="49"/>
      <c r="Q16" s="53">
        <v>0.1</v>
      </c>
      <c r="R16" s="85">
        <f>ROUNDUP(Q16*0.75,2)</f>
        <v>0.08</v>
      </c>
    </row>
    <row r="17" spans="1:18" ht="27.95" customHeight="1">
      <c r="A17" s="212"/>
      <c r="B17" s="65"/>
      <c r="C17" s="48" t="s">
        <v>213</v>
      </c>
      <c r="D17" s="49"/>
      <c r="E17" s="50">
        <v>5</v>
      </c>
      <c r="F17" s="51" t="s">
        <v>16</v>
      </c>
      <c r="G17" s="69"/>
      <c r="H17" s="73" t="s">
        <v>213</v>
      </c>
      <c r="I17" s="49"/>
      <c r="J17" s="51">
        <f>ROUNDUP(E17*0.75,2)</f>
        <v>3.75</v>
      </c>
      <c r="K17" s="51" t="s">
        <v>16</v>
      </c>
      <c r="L17" s="51"/>
      <c r="M17" s="77" t="e">
        <f>ROUND(#REF!+(#REF!*10/100),2)</f>
        <v>#REF!</v>
      </c>
      <c r="N17" s="65" t="s">
        <v>14</v>
      </c>
      <c r="O17" s="52" t="s">
        <v>75</v>
      </c>
      <c r="P17" s="49"/>
      <c r="Q17" s="53">
        <v>2</v>
      </c>
      <c r="R17" s="85">
        <f>ROUNDUP(Q17*0.75,2)</f>
        <v>1.5</v>
      </c>
    </row>
    <row r="18" spans="1:18" ht="27.95" customHeight="1">
      <c r="A18" s="212"/>
      <c r="B18" s="65"/>
      <c r="C18" s="48" t="s">
        <v>21</v>
      </c>
      <c r="D18" s="49" t="s">
        <v>22</v>
      </c>
      <c r="E18" s="80">
        <v>0.5</v>
      </c>
      <c r="F18" s="51" t="s">
        <v>23</v>
      </c>
      <c r="G18" s="69"/>
      <c r="H18" s="73" t="s">
        <v>21</v>
      </c>
      <c r="I18" s="49" t="s">
        <v>22</v>
      </c>
      <c r="J18" s="51">
        <f>ROUNDUP(E18*0.75,2)</f>
        <v>0.38</v>
      </c>
      <c r="K18" s="51" t="s">
        <v>23</v>
      </c>
      <c r="L18" s="51"/>
      <c r="M18" s="77" t="e">
        <f>#REF!</f>
        <v>#REF!</v>
      </c>
      <c r="N18" s="65"/>
      <c r="O18" s="52" t="s">
        <v>18</v>
      </c>
      <c r="P18" s="49"/>
      <c r="Q18" s="53">
        <v>2</v>
      </c>
      <c r="R18" s="85">
        <f>ROUNDUP(Q18*0.75,2)</f>
        <v>1.5</v>
      </c>
    </row>
    <row r="19" spans="1:18" ht="27.95" customHeight="1">
      <c r="A19" s="212"/>
      <c r="B19" s="64"/>
      <c r="C19" s="42"/>
      <c r="D19" s="43"/>
      <c r="E19" s="44"/>
      <c r="F19" s="45"/>
      <c r="G19" s="68"/>
      <c r="H19" s="72"/>
      <c r="I19" s="43"/>
      <c r="J19" s="45"/>
      <c r="K19" s="45"/>
      <c r="L19" s="45"/>
      <c r="M19" s="76"/>
      <c r="N19" s="64"/>
      <c r="O19" s="46"/>
      <c r="P19" s="43"/>
      <c r="Q19" s="47"/>
      <c r="R19" s="84"/>
    </row>
    <row r="20" spans="1:18" ht="27.95" customHeight="1">
      <c r="A20" s="212"/>
      <c r="B20" s="65" t="s">
        <v>58</v>
      </c>
      <c r="C20" s="48" t="s">
        <v>60</v>
      </c>
      <c r="D20" s="49"/>
      <c r="E20" s="62">
        <v>0.16666666666666666</v>
      </c>
      <c r="F20" s="51" t="s">
        <v>23</v>
      </c>
      <c r="G20" s="69"/>
      <c r="H20" s="73" t="s">
        <v>60</v>
      </c>
      <c r="I20" s="49"/>
      <c r="J20" s="51">
        <f>ROUNDUP(E20*0.75,2)</f>
        <v>0.13</v>
      </c>
      <c r="K20" s="51" t="s">
        <v>23</v>
      </c>
      <c r="L20" s="51"/>
      <c r="M20" s="77" t="e">
        <f>#REF!</f>
        <v>#REF!</v>
      </c>
      <c r="N20" s="65" t="s">
        <v>59</v>
      </c>
      <c r="O20" s="52"/>
      <c r="P20" s="49"/>
      <c r="Q20" s="53"/>
      <c r="R20" s="85"/>
    </row>
    <row r="21" spans="1:18" ht="27.95" customHeight="1" thickBot="1">
      <c r="A21" s="213"/>
      <c r="B21" s="66"/>
      <c r="C21" s="55"/>
      <c r="D21" s="56"/>
      <c r="E21" s="57"/>
      <c r="F21" s="58"/>
      <c r="G21" s="70"/>
      <c r="H21" s="74"/>
      <c r="I21" s="56"/>
      <c r="J21" s="58"/>
      <c r="K21" s="58"/>
      <c r="L21" s="58"/>
      <c r="M21" s="78"/>
      <c r="N21" s="66"/>
      <c r="O21" s="59"/>
      <c r="P21" s="56"/>
      <c r="Q21" s="60"/>
      <c r="R21" s="87"/>
    </row>
    <row r="26" spans="1:18" ht="18.75" customHeight="1">
      <c r="P26" s="3"/>
      <c r="Q26" s="88"/>
      <c r="R26" s="88"/>
    </row>
  </sheetData>
  <mergeCells count="5">
    <mergeCell ref="B3:C4"/>
    <mergeCell ref="H1:N1"/>
    <mergeCell ref="A2:R2"/>
    <mergeCell ref="A5:F5"/>
    <mergeCell ref="A7:A21"/>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214</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62</v>
      </c>
      <c r="C5" s="36" t="s">
        <v>65</v>
      </c>
      <c r="D5" s="37" t="s">
        <v>34</v>
      </c>
      <c r="E5" s="38">
        <v>40</v>
      </c>
      <c r="F5" s="39" t="s">
        <v>16</v>
      </c>
      <c r="G5" s="67"/>
      <c r="H5" s="71" t="s">
        <v>65</v>
      </c>
      <c r="I5" s="37" t="s">
        <v>34</v>
      </c>
      <c r="J5" s="39">
        <f>ROUNDUP(E5*0.75,2)</f>
        <v>30</v>
      </c>
      <c r="K5" s="39" t="s">
        <v>16</v>
      </c>
      <c r="L5" s="39"/>
      <c r="M5" s="75" t="e">
        <f>#REF!</f>
        <v>#REF!</v>
      </c>
      <c r="N5" s="63" t="s">
        <v>63</v>
      </c>
      <c r="O5" s="40" t="s">
        <v>66</v>
      </c>
      <c r="P5" s="37" t="s">
        <v>40</v>
      </c>
      <c r="Q5" s="41">
        <v>2</v>
      </c>
      <c r="R5" s="83">
        <f t="shared" ref="R5:R10" si="0">ROUNDUP(Q5*0.75,2)</f>
        <v>1.5</v>
      </c>
    </row>
    <row r="6" spans="1:19" ht="27.95" customHeight="1">
      <c r="A6" s="212"/>
      <c r="B6" s="65"/>
      <c r="C6" s="48" t="s">
        <v>67</v>
      </c>
      <c r="D6" s="49"/>
      <c r="E6" s="50">
        <v>20</v>
      </c>
      <c r="F6" s="51" t="s">
        <v>16</v>
      </c>
      <c r="G6" s="69"/>
      <c r="H6" s="73" t="s">
        <v>67</v>
      </c>
      <c r="I6" s="49"/>
      <c r="J6" s="51">
        <f>ROUNDUP(E6*0.75,2)</f>
        <v>15</v>
      </c>
      <c r="K6" s="51" t="s">
        <v>16</v>
      </c>
      <c r="L6" s="51"/>
      <c r="M6" s="77" t="e">
        <f>#REF!</f>
        <v>#REF!</v>
      </c>
      <c r="N6" s="65" t="s">
        <v>64</v>
      </c>
      <c r="O6" s="52" t="s">
        <v>49</v>
      </c>
      <c r="P6" s="49"/>
      <c r="Q6" s="53">
        <v>0.5</v>
      </c>
      <c r="R6" s="85">
        <f t="shared" si="0"/>
        <v>0.38</v>
      </c>
    </row>
    <row r="7" spans="1:19" ht="27.95" customHeight="1">
      <c r="A7" s="212"/>
      <c r="B7" s="65"/>
      <c r="C7" s="48" t="s">
        <v>15</v>
      </c>
      <c r="D7" s="49"/>
      <c r="E7" s="50">
        <v>30</v>
      </c>
      <c r="F7" s="51" t="s">
        <v>16</v>
      </c>
      <c r="G7" s="69"/>
      <c r="H7" s="73" t="s">
        <v>15</v>
      </c>
      <c r="I7" s="49"/>
      <c r="J7" s="51">
        <f>ROUNDUP(E7*0.75,2)</f>
        <v>22.5</v>
      </c>
      <c r="K7" s="51" t="s">
        <v>16</v>
      </c>
      <c r="L7" s="51"/>
      <c r="M7" s="77" t="e">
        <f>ROUND(#REF!+(#REF!*6/100),2)</f>
        <v>#REF!</v>
      </c>
      <c r="N7" s="82" t="s">
        <v>237</v>
      </c>
      <c r="O7" s="52" t="s">
        <v>18</v>
      </c>
      <c r="P7" s="49"/>
      <c r="Q7" s="53">
        <v>2</v>
      </c>
      <c r="R7" s="85">
        <f t="shared" si="0"/>
        <v>1.5</v>
      </c>
    </row>
    <row r="8" spans="1:19" ht="27.95" customHeight="1">
      <c r="A8" s="212"/>
      <c r="B8" s="65"/>
      <c r="C8" s="48" t="s">
        <v>68</v>
      </c>
      <c r="D8" s="49"/>
      <c r="E8" s="50">
        <v>5</v>
      </c>
      <c r="F8" s="51" t="s">
        <v>16</v>
      </c>
      <c r="G8" s="69"/>
      <c r="H8" s="73" t="s">
        <v>68</v>
      </c>
      <c r="I8" s="49"/>
      <c r="J8" s="51">
        <f>ROUNDUP(E8*0.75,2)</f>
        <v>3.75</v>
      </c>
      <c r="K8" s="51" t="s">
        <v>16</v>
      </c>
      <c r="L8" s="51"/>
      <c r="M8" s="77" t="e">
        <f>#REF!</f>
        <v>#REF!</v>
      </c>
      <c r="N8" s="86" t="s">
        <v>266</v>
      </c>
      <c r="O8" s="52" t="s">
        <v>24</v>
      </c>
      <c r="P8" s="49"/>
      <c r="Q8" s="53">
        <v>10</v>
      </c>
      <c r="R8" s="85">
        <f t="shared" si="0"/>
        <v>7.5</v>
      </c>
    </row>
    <row r="9" spans="1:19" ht="27.95" customHeight="1">
      <c r="A9" s="212"/>
      <c r="B9" s="65"/>
      <c r="C9" s="48"/>
      <c r="D9" s="49"/>
      <c r="E9" s="50"/>
      <c r="F9" s="51"/>
      <c r="G9" s="69"/>
      <c r="H9" s="73"/>
      <c r="I9" s="49"/>
      <c r="J9" s="51"/>
      <c r="K9" s="51"/>
      <c r="L9" s="51"/>
      <c r="M9" s="77"/>
      <c r="N9" s="65" t="s">
        <v>14</v>
      </c>
      <c r="O9" s="52" t="s">
        <v>54</v>
      </c>
      <c r="P9" s="49"/>
      <c r="Q9" s="53">
        <v>2</v>
      </c>
      <c r="R9" s="85">
        <f t="shared" si="0"/>
        <v>1.5</v>
      </c>
    </row>
    <row r="10" spans="1:19" ht="27.95" customHeight="1">
      <c r="A10" s="212"/>
      <c r="B10" s="65"/>
      <c r="C10" s="48"/>
      <c r="D10" s="49"/>
      <c r="E10" s="50"/>
      <c r="F10" s="51"/>
      <c r="G10" s="69"/>
      <c r="H10" s="73"/>
      <c r="I10" s="49"/>
      <c r="J10" s="51"/>
      <c r="K10" s="51"/>
      <c r="L10" s="51"/>
      <c r="M10" s="77"/>
      <c r="N10" s="65"/>
      <c r="O10" s="52" t="s">
        <v>32</v>
      </c>
      <c r="P10" s="49"/>
      <c r="Q10" s="53">
        <v>0.5</v>
      </c>
      <c r="R10" s="85">
        <f t="shared" si="0"/>
        <v>0.38</v>
      </c>
    </row>
    <row r="11" spans="1:19" ht="27.95" customHeight="1">
      <c r="A11" s="212"/>
      <c r="B11" s="64"/>
      <c r="C11" s="42"/>
      <c r="D11" s="43"/>
      <c r="E11" s="44"/>
      <c r="F11" s="45"/>
      <c r="G11" s="68"/>
      <c r="H11" s="72"/>
      <c r="I11" s="43"/>
      <c r="J11" s="45"/>
      <c r="K11" s="45"/>
      <c r="L11" s="45"/>
      <c r="M11" s="76"/>
      <c r="N11" s="64"/>
      <c r="O11" s="46"/>
      <c r="P11" s="43"/>
      <c r="Q11" s="47"/>
      <c r="R11" s="84"/>
    </row>
    <row r="12" spans="1:19" ht="27.95" customHeight="1">
      <c r="A12" s="212"/>
      <c r="B12" s="65" t="s">
        <v>69</v>
      </c>
      <c r="C12" s="48" t="s">
        <v>71</v>
      </c>
      <c r="D12" s="49"/>
      <c r="E12" s="62">
        <v>0.16666666666666666</v>
      </c>
      <c r="F12" s="51" t="s">
        <v>72</v>
      </c>
      <c r="G12" s="69"/>
      <c r="H12" s="73" t="s">
        <v>71</v>
      </c>
      <c r="I12" s="49"/>
      <c r="J12" s="51">
        <f>ROUNDUP(E12*0.75,2)</f>
        <v>0.13</v>
      </c>
      <c r="K12" s="51" t="s">
        <v>72</v>
      </c>
      <c r="L12" s="51"/>
      <c r="M12" s="77" t="e">
        <f>#REF!</f>
        <v>#REF!</v>
      </c>
      <c r="N12" s="65" t="s">
        <v>238</v>
      </c>
      <c r="O12" s="52" t="s">
        <v>32</v>
      </c>
      <c r="P12" s="49"/>
      <c r="Q12" s="53">
        <v>1</v>
      </c>
      <c r="R12" s="85">
        <f>ROUNDUP(Q12*0.75,2)</f>
        <v>0.75</v>
      </c>
    </row>
    <row r="13" spans="1:19" ht="27.95" customHeight="1">
      <c r="A13" s="212"/>
      <c r="B13" s="65"/>
      <c r="C13" s="48" t="s">
        <v>21</v>
      </c>
      <c r="D13" s="49" t="s">
        <v>22</v>
      </c>
      <c r="E13" s="61">
        <v>0.25</v>
      </c>
      <c r="F13" s="51" t="s">
        <v>23</v>
      </c>
      <c r="G13" s="69"/>
      <c r="H13" s="73" t="s">
        <v>21</v>
      </c>
      <c r="I13" s="49" t="s">
        <v>22</v>
      </c>
      <c r="J13" s="51">
        <f>ROUNDUP(E13*0.75,2)</f>
        <v>0.19</v>
      </c>
      <c r="K13" s="51" t="s">
        <v>23</v>
      </c>
      <c r="L13" s="51"/>
      <c r="M13" s="77" t="e">
        <f>#REF!</f>
        <v>#REF!</v>
      </c>
      <c r="N13" s="86" t="s">
        <v>239</v>
      </c>
      <c r="O13" s="52" t="s">
        <v>19</v>
      </c>
      <c r="P13" s="49"/>
      <c r="Q13" s="53">
        <v>0.1</v>
      </c>
      <c r="R13" s="85">
        <f>ROUNDUP(Q13*0.75,2)</f>
        <v>0.08</v>
      </c>
    </row>
    <row r="14" spans="1:19" ht="27.95" customHeight="1">
      <c r="A14" s="212"/>
      <c r="B14" s="65"/>
      <c r="C14" s="48" t="s">
        <v>73</v>
      </c>
      <c r="D14" s="49"/>
      <c r="E14" s="50">
        <v>10</v>
      </c>
      <c r="F14" s="51" t="s">
        <v>16</v>
      </c>
      <c r="G14" s="69"/>
      <c r="H14" s="73" t="s">
        <v>73</v>
      </c>
      <c r="I14" s="49"/>
      <c r="J14" s="51">
        <f>ROUNDUP(E14*0.75,2)</f>
        <v>7.5</v>
      </c>
      <c r="K14" s="51" t="s">
        <v>16</v>
      </c>
      <c r="L14" s="51"/>
      <c r="M14" s="77" t="e">
        <f>ROUND(#REF!+(#REF!*2/100),2)</f>
        <v>#REF!</v>
      </c>
      <c r="N14" s="65" t="s">
        <v>70</v>
      </c>
      <c r="O14" s="52" t="s">
        <v>33</v>
      </c>
      <c r="P14" s="49" t="s">
        <v>34</v>
      </c>
      <c r="Q14" s="53">
        <v>0.5</v>
      </c>
      <c r="R14" s="85">
        <f>ROUNDUP(Q14*0.75,2)</f>
        <v>0.38</v>
      </c>
    </row>
    <row r="15" spans="1:19" ht="27.95" customHeight="1">
      <c r="A15" s="212"/>
      <c r="B15" s="65"/>
      <c r="C15" s="48" t="s">
        <v>74</v>
      </c>
      <c r="D15" s="49"/>
      <c r="E15" s="50">
        <v>10</v>
      </c>
      <c r="F15" s="51" t="s">
        <v>16</v>
      </c>
      <c r="G15" s="69"/>
      <c r="H15" s="73" t="s">
        <v>74</v>
      </c>
      <c r="I15" s="49"/>
      <c r="J15" s="51">
        <f>ROUNDUP(E15*0.75,2)</f>
        <v>7.5</v>
      </c>
      <c r="K15" s="51" t="s">
        <v>16</v>
      </c>
      <c r="L15" s="51"/>
      <c r="M15" s="77" t="e">
        <f>#REF!</f>
        <v>#REF!</v>
      </c>
      <c r="N15" s="65" t="s">
        <v>47</v>
      </c>
      <c r="O15" s="52" t="s">
        <v>75</v>
      </c>
      <c r="P15" s="49"/>
      <c r="Q15" s="53">
        <v>2</v>
      </c>
      <c r="R15" s="85">
        <f>ROUNDUP(Q15*0.75,2)</f>
        <v>1.5</v>
      </c>
    </row>
    <row r="16" spans="1:19" ht="27.95" customHeight="1">
      <c r="A16" s="212"/>
      <c r="B16" s="65"/>
      <c r="C16" s="48"/>
      <c r="D16" s="49"/>
      <c r="E16" s="50"/>
      <c r="F16" s="51"/>
      <c r="G16" s="69"/>
      <c r="H16" s="73"/>
      <c r="I16" s="49"/>
      <c r="J16" s="51"/>
      <c r="K16" s="51"/>
      <c r="L16" s="51"/>
      <c r="M16" s="77"/>
      <c r="N16" s="65"/>
      <c r="O16" s="52" t="s">
        <v>18</v>
      </c>
      <c r="P16" s="49"/>
      <c r="Q16" s="53">
        <v>2</v>
      </c>
      <c r="R16" s="85">
        <f>ROUNDUP(Q16*0.75,2)</f>
        <v>1.5</v>
      </c>
    </row>
    <row r="17" spans="1:18" ht="27.95" customHeight="1">
      <c r="A17" s="212"/>
      <c r="B17" s="64"/>
      <c r="C17" s="42"/>
      <c r="D17" s="43"/>
      <c r="E17" s="44"/>
      <c r="F17" s="45"/>
      <c r="G17" s="68"/>
      <c r="H17" s="72"/>
      <c r="I17" s="43"/>
      <c r="J17" s="45"/>
      <c r="K17" s="45"/>
      <c r="L17" s="45"/>
      <c r="M17" s="76"/>
      <c r="N17" s="64"/>
      <c r="O17" s="46"/>
      <c r="P17" s="43"/>
      <c r="Q17" s="47"/>
      <c r="R17" s="84"/>
    </row>
    <row r="18" spans="1:18" ht="27.95" customHeight="1">
      <c r="A18" s="212"/>
      <c r="B18" s="65" t="s">
        <v>76</v>
      </c>
      <c r="C18" s="48" t="s">
        <v>53</v>
      </c>
      <c r="D18" s="49"/>
      <c r="E18" s="50">
        <v>20</v>
      </c>
      <c r="F18" s="51" t="s">
        <v>16</v>
      </c>
      <c r="G18" s="69"/>
      <c r="H18" s="73" t="s">
        <v>53</v>
      </c>
      <c r="I18" s="49"/>
      <c r="J18" s="51">
        <f>ROUNDUP(E18*0.75,2)</f>
        <v>15</v>
      </c>
      <c r="K18" s="51" t="s">
        <v>16</v>
      </c>
      <c r="L18" s="51"/>
      <c r="M18" s="77" t="e">
        <f>ROUND(#REF!+(#REF!*15/100),2)</f>
        <v>#REF!</v>
      </c>
      <c r="N18" s="65" t="s">
        <v>77</v>
      </c>
      <c r="O18" s="52" t="s">
        <v>66</v>
      </c>
      <c r="P18" s="49" t="s">
        <v>40</v>
      </c>
      <c r="Q18" s="53">
        <v>1</v>
      </c>
      <c r="R18" s="85">
        <f>ROUNDUP(Q18*0.75,2)</f>
        <v>0.75</v>
      </c>
    </row>
    <row r="19" spans="1:18" ht="27.95" customHeight="1">
      <c r="A19" s="212"/>
      <c r="B19" s="65"/>
      <c r="C19" s="48" t="s">
        <v>29</v>
      </c>
      <c r="D19" s="49"/>
      <c r="E19" s="50">
        <v>5</v>
      </c>
      <c r="F19" s="51" t="s">
        <v>16</v>
      </c>
      <c r="G19" s="69"/>
      <c r="H19" s="73" t="s">
        <v>29</v>
      </c>
      <c r="I19" s="49"/>
      <c r="J19" s="51">
        <f>ROUNDUP(E19*0.75,2)</f>
        <v>3.75</v>
      </c>
      <c r="K19" s="51" t="s">
        <v>16</v>
      </c>
      <c r="L19" s="51"/>
      <c r="M19" s="77" t="e">
        <f>ROUND(#REF!+(#REF!*10/100),2)</f>
        <v>#REF!</v>
      </c>
      <c r="N19" s="65" t="s">
        <v>78</v>
      </c>
      <c r="O19" s="52" t="s">
        <v>46</v>
      </c>
      <c r="P19" s="49"/>
      <c r="Q19" s="53">
        <v>60</v>
      </c>
      <c r="R19" s="85">
        <f>ROUNDUP(Q19*0.75,2)</f>
        <v>45</v>
      </c>
    </row>
    <row r="20" spans="1:18" ht="27.95" customHeight="1">
      <c r="A20" s="212"/>
      <c r="B20" s="65"/>
      <c r="C20" s="48" t="s">
        <v>39</v>
      </c>
      <c r="D20" s="49" t="s">
        <v>40</v>
      </c>
      <c r="E20" s="50">
        <v>40</v>
      </c>
      <c r="F20" s="51" t="s">
        <v>41</v>
      </c>
      <c r="G20" s="69"/>
      <c r="H20" s="73" t="s">
        <v>39</v>
      </c>
      <c r="I20" s="49" t="s">
        <v>40</v>
      </c>
      <c r="J20" s="51">
        <f>ROUNDUP(E20*0.75,2)</f>
        <v>30</v>
      </c>
      <c r="K20" s="51" t="s">
        <v>41</v>
      </c>
      <c r="L20" s="51"/>
      <c r="M20" s="77" t="e">
        <f>#REF!</f>
        <v>#REF!</v>
      </c>
      <c r="N20" s="65" t="s">
        <v>79</v>
      </c>
      <c r="O20" s="52" t="s">
        <v>81</v>
      </c>
      <c r="P20" s="49" t="s">
        <v>82</v>
      </c>
      <c r="Q20" s="53">
        <v>0.5</v>
      </c>
      <c r="R20" s="85">
        <f>ROUNDUP(Q20*0.75,2)</f>
        <v>0.38</v>
      </c>
    </row>
    <row r="21" spans="1:18" ht="27.95" customHeight="1">
      <c r="A21" s="212"/>
      <c r="B21" s="65"/>
      <c r="C21" s="48"/>
      <c r="D21" s="49"/>
      <c r="E21" s="50"/>
      <c r="F21" s="51"/>
      <c r="G21" s="69"/>
      <c r="H21" s="73"/>
      <c r="I21" s="49"/>
      <c r="J21" s="51"/>
      <c r="K21" s="51"/>
      <c r="L21" s="51"/>
      <c r="M21" s="77"/>
      <c r="N21" s="65" t="s">
        <v>80</v>
      </c>
      <c r="O21" s="52" t="s">
        <v>19</v>
      </c>
      <c r="P21" s="49"/>
      <c r="Q21" s="53">
        <v>0.1</v>
      </c>
      <c r="R21" s="85">
        <f>ROUNDUP(Q21*0.75,2)</f>
        <v>0.08</v>
      </c>
    </row>
    <row r="22" spans="1:18" ht="27.95" customHeight="1">
      <c r="A22" s="212"/>
      <c r="B22" s="65"/>
      <c r="C22" s="48"/>
      <c r="D22" s="49"/>
      <c r="E22" s="50"/>
      <c r="F22" s="51"/>
      <c r="G22" s="69"/>
      <c r="H22" s="73"/>
      <c r="I22" s="49"/>
      <c r="J22" s="51"/>
      <c r="K22" s="51"/>
      <c r="L22" s="51"/>
      <c r="M22" s="77"/>
      <c r="N22" s="65" t="s">
        <v>47</v>
      </c>
      <c r="O22" s="52" t="s">
        <v>45</v>
      </c>
      <c r="P22" s="49"/>
      <c r="Q22" s="53">
        <v>1</v>
      </c>
      <c r="R22" s="85">
        <f>ROUNDUP(Q22*0.75,2)</f>
        <v>0.75</v>
      </c>
    </row>
    <row r="23" spans="1:18" ht="27.95" customHeight="1">
      <c r="A23" s="212"/>
      <c r="B23" s="65"/>
      <c r="C23" s="48"/>
      <c r="D23" s="49"/>
      <c r="E23" s="50"/>
      <c r="F23" s="51"/>
      <c r="G23" s="69"/>
      <c r="H23" s="73"/>
      <c r="I23" s="49"/>
      <c r="J23" s="51"/>
      <c r="K23" s="51"/>
      <c r="L23" s="51"/>
      <c r="M23" s="77"/>
      <c r="N23" s="65"/>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Zeros="0" zoomScale="60" zoomScaleNormal="60" workbookViewId="0">
      <selection sqref="A1:B1"/>
    </sheetView>
  </sheetViews>
  <sheetFormatPr defaultRowHeight="18.75" customHeight="1"/>
  <cols>
    <col min="1" max="1" width="4.125" style="28" customWidth="1"/>
    <col min="2" max="2" width="19.25" style="27" customWidth="1"/>
    <col min="3" max="3" width="21.375" style="27" customWidth="1"/>
    <col min="4" max="4" width="6.25" style="29" customWidth="1"/>
    <col min="5" max="5" width="4.125" style="30" customWidth="1"/>
    <col min="6" max="6" width="6.25" style="30" customWidth="1"/>
    <col min="7" max="7" width="7.125" style="32" customWidth="1"/>
    <col min="8" max="8" width="7.625" style="32" hidden="1" customWidth="1"/>
    <col min="9" max="9" width="43.375" style="219" customWidth="1"/>
    <col min="10" max="16384" width="9" style="3"/>
  </cols>
  <sheetData>
    <row r="1" spans="1:9" ht="30.75" customHeight="1">
      <c r="A1" s="215" t="s">
        <v>424</v>
      </c>
      <c r="B1" s="215"/>
      <c r="C1" s="207" t="s">
        <v>0</v>
      </c>
      <c r="D1" s="207"/>
      <c r="E1" s="207"/>
      <c r="F1" s="207"/>
      <c r="G1" s="207"/>
      <c r="H1" s="207"/>
      <c r="I1" s="207"/>
    </row>
    <row r="2" spans="1:9" ht="18.75" customHeight="1">
      <c r="A2" s="5"/>
      <c r="B2" s="5"/>
      <c r="C2" s="152"/>
      <c r="D2" s="6"/>
      <c r="E2" s="152"/>
      <c r="F2" s="7"/>
      <c r="G2" s="7"/>
      <c r="H2" s="7"/>
      <c r="I2" s="152"/>
    </row>
    <row r="3" spans="1:9" ht="15.75" customHeight="1">
      <c r="A3" s="5"/>
      <c r="B3" s="5"/>
      <c r="C3" s="152"/>
      <c r="D3" s="6"/>
      <c r="E3" s="152"/>
      <c r="F3" s="7"/>
      <c r="G3" s="8"/>
      <c r="H3" s="8"/>
      <c r="I3" s="152"/>
    </row>
    <row r="4" spans="1:9" ht="30" customHeight="1">
      <c r="A4" s="5"/>
      <c r="B4" s="5"/>
      <c r="C4" s="152"/>
      <c r="D4" s="6"/>
      <c r="E4" s="152"/>
      <c r="F4" s="7"/>
      <c r="G4" s="8"/>
      <c r="H4" s="8"/>
      <c r="I4" s="152"/>
    </row>
    <row r="5" spans="1:9" ht="30" customHeight="1">
      <c r="A5" s="5"/>
      <c r="B5" s="5"/>
      <c r="C5" s="152"/>
      <c r="D5" s="6"/>
      <c r="E5" s="152"/>
      <c r="F5" s="7"/>
      <c r="G5" s="8"/>
      <c r="H5" s="8"/>
      <c r="I5" s="152"/>
    </row>
    <row r="6" spans="1:9" ht="30" customHeight="1">
      <c r="F6" s="7"/>
      <c r="G6" s="10"/>
      <c r="H6" s="10"/>
      <c r="I6" s="152"/>
    </row>
    <row r="7" spans="1:9" ht="24" customHeight="1">
      <c r="B7" s="216" t="s">
        <v>429</v>
      </c>
      <c r="D7" s="217" t="s">
        <v>425</v>
      </c>
      <c r="E7" s="218"/>
      <c r="F7" s="153"/>
      <c r="G7" s="153"/>
      <c r="H7" s="153"/>
      <c r="I7" s="3"/>
    </row>
    <row r="9" spans="1:9" ht="35.25" customHeight="1">
      <c r="B9" s="217" t="s">
        <v>430</v>
      </c>
    </row>
    <row r="10" spans="1:9" ht="35.25" customHeight="1">
      <c r="B10" s="217" t="s">
        <v>426</v>
      </c>
    </row>
    <row r="11" spans="1:9" ht="35.25" customHeight="1">
      <c r="B11" s="217" t="s">
        <v>427</v>
      </c>
    </row>
    <row r="12" spans="1:9" ht="35.25" customHeight="1">
      <c r="B12" s="217" t="s">
        <v>428</v>
      </c>
    </row>
  </sheetData>
  <mergeCells count="2">
    <mergeCell ref="A1:B1"/>
    <mergeCell ref="C1:I1"/>
  </mergeCells>
  <phoneticPr fontId="21"/>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221</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6.1"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6.1" customHeight="1">
      <c r="A6" s="212"/>
      <c r="B6" s="64"/>
      <c r="C6" s="42"/>
      <c r="D6" s="43"/>
      <c r="E6" s="44"/>
      <c r="F6" s="45"/>
      <c r="G6" s="68"/>
      <c r="H6" s="72"/>
      <c r="I6" s="43"/>
      <c r="J6" s="45"/>
      <c r="K6" s="45"/>
      <c r="L6" s="45"/>
      <c r="M6" s="76"/>
      <c r="N6" s="64"/>
      <c r="O6" s="46"/>
      <c r="P6" s="43"/>
      <c r="Q6" s="47"/>
      <c r="R6" s="84"/>
    </row>
    <row r="7" spans="1:19" ht="26.1" customHeight="1">
      <c r="A7" s="212"/>
      <c r="B7" s="65" t="s">
        <v>116</v>
      </c>
      <c r="C7" s="48" t="s">
        <v>120</v>
      </c>
      <c r="D7" s="49"/>
      <c r="E7" s="50">
        <v>1</v>
      </c>
      <c r="F7" s="51" t="s">
        <v>48</v>
      </c>
      <c r="G7" s="69" t="s">
        <v>27</v>
      </c>
      <c r="H7" s="73" t="s">
        <v>120</v>
      </c>
      <c r="I7" s="49"/>
      <c r="J7" s="51">
        <f>ROUNDUP(E7*0.75,2)</f>
        <v>0.75</v>
      </c>
      <c r="K7" s="51" t="s">
        <v>48</v>
      </c>
      <c r="L7" s="51" t="s">
        <v>27</v>
      </c>
      <c r="M7" s="77" t="e">
        <f>#REF!</f>
        <v>#REF!</v>
      </c>
      <c r="N7" s="65" t="s">
        <v>117</v>
      </c>
      <c r="O7" s="52" t="s">
        <v>44</v>
      </c>
      <c r="P7" s="49" t="s">
        <v>34</v>
      </c>
      <c r="Q7" s="53">
        <v>5</v>
      </c>
      <c r="R7" s="85">
        <f t="shared" ref="R7:R14" si="0">ROUNDUP(Q7*0.75,2)</f>
        <v>3.75</v>
      </c>
    </row>
    <row r="8" spans="1:19" ht="26.1" customHeight="1">
      <c r="A8" s="212"/>
      <c r="B8" s="65"/>
      <c r="C8" s="48" t="s">
        <v>29</v>
      </c>
      <c r="D8" s="49"/>
      <c r="E8" s="50">
        <v>10</v>
      </c>
      <c r="F8" s="51" t="s">
        <v>16</v>
      </c>
      <c r="G8" s="69"/>
      <c r="H8" s="73" t="s">
        <v>29</v>
      </c>
      <c r="I8" s="49"/>
      <c r="J8" s="51">
        <f>ROUNDUP(E8*0.75,2)</f>
        <v>7.5</v>
      </c>
      <c r="K8" s="51" t="s">
        <v>16</v>
      </c>
      <c r="L8" s="51"/>
      <c r="M8" s="77" t="e">
        <f>ROUND(#REF!+(#REF!*10/100),2)</f>
        <v>#REF!</v>
      </c>
      <c r="N8" s="65" t="s">
        <v>118</v>
      </c>
      <c r="O8" s="52" t="s">
        <v>18</v>
      </c>
      <c r="P8" s="49"/>
      <c r="Q8" s="53">
        <v>2</v>
      </c>
      <c r="R8" s="85">
        <f t="shared" si="0"/>
        <v>1.5</v>
      </c>
    </row>
    <row r="9" spans="1:19" ht="26.1" customHeight="1">
      <c r="A9" s="212"/>
      <c r="B9" s="65"/>
      <c r="C9" s="48" t="s">
        <v>88</v>
      </c>
      <c r="D9" s="49"/>
      <c r="E9" s="50">
        <v>5</v>
      </c>
      <c r="F9" s="51" t="s">
        <v>16</v>
      </c>
      <c r="G9" s="69"/>
      <c r="H9" s="73" t="s">
        <v>88</v>
      </c>
      <c r="I9" s="49"/>
      <c r="J9" s="51">
        <f>ROUNDUP(E9*0.75,2)</f>
        <v>3.75</v>
      </c>
      <c r="K9" s="51" t="s">
        <v>16</v>
      </c>
      <c r="L9" s="51"/>
      <c r="M9" s="77" t="e">
        <f>#REF!</f>
        <v>#REF!</v>
      </c>
      <c r="N9" s="65" t="s">
        <v>119</v>
      </c>
      <c r="O9" s="52" t="s">
        <v>33</v>
      </c>
      <c r="P9" s="49" t="s">
        <v>34</v>
      </c>
      <c r="Q9" s="53">
        <v>1</v>
      </c>
      <c r="R9" s="85">
        <f t="shared" si="0"/>
        <v>0.75</v>
      </c>
    </row>
    <row r="10" spans="1:19" ht="26.1" customHeight="1">
      <c r="A10" s="212"/>
      <c r="B10" s="65"/>
      <c r="C10" s="48"/>
      <c r="D10" s="49"/>
      <c r="E10" s="50"/>
      <c r="F10" s="51"/>
      <c r="G10" s="69"/>
      <c r="H10" s="73"/>
      <c r="I10" s="49"/>
      <c r="J10" s="51"/>
      <c r="K10" s="51"/>
      <c r="L10" s="51"/>
      <c r="M10" s="77"/>
      <c r="N10" s="65" t="s">
        <v>14</v>
      </c>
      <c r="O10" s="52" t="s">
        <v>52</v>
      </c>
      <c r="P10" s="49"/>
      <c r="Q10" s="53">
        <v>2</v>
      </c>
      <c r="R10" s="85">
        <f t="shared" si="0"/>
        <v>1.5</v>
      </c>
    </row>
    <row r="11" spans="1:19" ht="26.1" customHeight="1">
      <c r="A11" s="212"/>
      <c r="B11" s="65"/>
      <c r="C11" s="48"/>
      <c r="D11" s="49"/>
      <c r="E11" s="50"/>
      <c r="F11" s="51"/>
      <c r="G11" s="69"/>
      <c r="H11" s="73"/>
      <c r="I11" s="49"/>
      <c r="J11" s="51"/>
      <c r="K11" s="51"/>
      <c r="L11" s="51"/>
      <c r="M11" s="77"/>
      <c r="N11" s="65"/>
      <c r="O11" s="52" t="s">
        <v>66</v>
      </c>
      <c r="P11" s="49" t="s">
        <v>40</v>
      </c>
      <c r="Q11" s="53">
        <v>1</v>
      </c>
      <c r="R11" s="85">
        <f t="shared" si="0"/>
        <v>0.75</v>
      </c>
    </row>
    <row r="12" spans="1:19" ht="26.1" customHeight="1">
      <c r="A12" s="212"/>
      <c r="B12" s="65"/>
      <c r="C12" s="48"/>
      <c r="D12" s="49"/>
      <c r="E12" s="50"/>
      <c r="F12" s="51"/>
      <c r="G12" s="69"/>
      <c r="H12" s="73"/>
      <c r="I12" s="49"/>
      <c r="J12" s="51"/>
      <c r="K12" s="51"/>
      <c r="L12" s="51"/>
      <c r="M12" s="77"/>
      <c r="N12" s="65"/>
      <c r="O12" s="52" t="s">
        <v>32</v>
      </c>
      <c r="P12" s="49"/>
      <c r="Q12" s="53">
        <v>0.5</v>
      </c>
      <c r="R12" s="85">
        <f t="shared" si="0"/>
        <v>0.38</v>
      </c>
    </row>
    <row r="13" spans="1:19" ht="26.1" customHeight="1">
      <c r="A13" s="212"/>
      <c r="B13" s="65"/>
      <c r="C13" s="48"/>
      <c r="D13" s="49"/>
      <c r="E13" s="50"/>
      <c r="F13" s="51"/>
      <c r="G13" s="69"/>
      <c r="H13" s="73"/>
      <c r="I13" s="49"/>
      <c r="J13" s="51"/>
      <c r="K13" s="51"/>
      <c r="L13" s="51"/>
      <c r="M13" s="77"/>
      <c r="N13" s="65"/>
      <c r="O13" s="52" t="s">
        <v>66</v>
      </c>
      <c r="P13" s="49" t="s">
        <v>40</v>
      </c>
      <c r="Q13" s="53">
        <v>1</v>
      </c>
      <c r="R13" s="85">
        <f t="shared" si="0"/>
        <v>0.75</v>
      </c>
    </row>
    <row r="14" spans="1:19" ht="26.1" customHeight="1">
      <c r="A14" s="212"/>
      <c r="B14" s="65"/>
      <c r="C14" s="48"/>
      <c r="D14" s="49"/>
      <c r="E14" s="50"/>
      <c r="F14" s="51"/>
      <c r="G14" s="69"/>
      <c r="H14" s="73"/>
      <c r="I14" s="49"/>
      <c r="J14" s="51"/>
      <c r="K14" s="51"/>
      <c r="L14" s="51"/>
      <c r="M14" s="77"/>
      <c r="N14" s="65"/>
      <c r="O14" s="52" t="s">
        <v>46</v>
      </c>
      <c r="P14" s="49"/>
      <c r="Q14" s="53">
        <v>10</v>
      </c>
      <c r="R14" s="85">
        <f t="shared" si="0"/>
        <v>7.5</v>
      </c>
    </row>
    <row r="15" spans="1:19" ht="26.1" customHeight="1">
      <c r="A15" s="212"/>
      <c r="B15" s="64"/>
      <c r="C15" s="42"/>
      <c r="D15" s="43"/>
      <c r="E15" s="44"/>
      <c r="F15" s="45"/>
      <c r="G15" s="68"/>
      <c r="H15" s="72"/>
      <c r="I15" s="43"/>
      <c r="J15" s="45"/>
      <c r="K15" s="45"/>
      <c r="L15" s="45"/>
      <c r="M15" s="76"/>
      <c r="N15" s="64"/>
      <c r="O15" s="46"/>
      <c r="P15" s="43"/>
      <c r="Q15" s="47"/>
      <c r="R15" s="84"/>
    </row>
    <row r="16" spans="1:19" ht="26.1" customHeight="1">
      <c r="A16" s="212"/>
      <c r="B16" s="65" t="s">
        <v>121</v>
      </c>
      <c r="C16" s="48" t="s">
        <v>124</v>
      </c>
      <c r="D16" s="49"/>
      <c r="E16" s="61">
        <v>0.25</v>
      </c>
      <c r="F16" s="51" t="s">
        <v>98</v>
      </c>
      <c r="G16" s="69"/>
      <c r="H16" s="73" t="s">
        <v>124</v>
      </c>
      <c r="I16" s="49"/>
      <c r="J16" s="51">
        <f>ROUNDUP(E16*0.75,2)</f>
        <v>0.19</v>
      </c>
      <c r="K16" s="51" t="s">
        <v>98</v>
      </c>
      <c r="L16" s="51"/>
      <c r="M16" s="77" t="e">
        <f>#REF!</f>
        <v>#REF!</v>
      </c>
      <c r="N16" s="65" t="s">
        <v>122</v>
      </c>
      <c r="O16" s="52" t="s">
        <v>52</v>
      </c>
      <c r="P16" s="49"/>
      <c r="Q16" s="53">
        <v>2.5</v>
      </c>
      <c r="R16" s="85">
        <f>ROUNDUP(Q16*0.75,2)</f>
        <v>1.8800000000000001</v>
      </c>
    </row>
    <row r="17" spans="1:18" ht="26.1" customHeight="1">
      <c r="A17" s="212"/>
      <c r="B17" s="65"/>
      <c r="C17" s="48" t="s">
        <v>15</v>
      </c>
      <c r="D17" s="49"/>
      <c r="E17" s="50">
        <v>20</v>
      </c>
      <c r="F17" s="51" t="s">
        <v>16</v>
      </c>
      <c r="G17" s="69"/>
      <c r="H17" s="73" t="s">
        <v>15</v>
      </c>
      <c r="I17" s="49"/>
      <c r="J17" s="51">
        <f>ROUNDUP(E17*0.75,2)</f>
        <v>15</v>
      </c>
      <c r="K17" s="51" t="s">
        <v>16</v>
      </c>
      <c r="L17" s="51"/>
      <c r="M17" s="77" t="e">
        <f>ROUND(#REF!+(#REF!*6/100),2)</f>
        <v>#REF!</v>
      </c>
      <c r="N17" s="65" t="s">
        <v>123</v>
      </c>
      <c r="O17" s="52" t="s">
        <v>33</v>
      </c>
      <c r="P17" s="49" t="s">
        <v>34</v>
      </c>
      <c r="Q17" s="53">
        <v>1.5</v>
      </c>
      <c r="R17" s="85">
        <f>ROUNDUP(Q17*0.75,2)</f>
        <v>1.1300000000000001</v>
      </c>
    </row>
    <row r="18" spans="1:18" ht="26.1" customHeight="1">
      <c r="A18" s="212"/>
      <c r="B18" s="65"/>
      <c r="C18" s="48" t="s">
        <v>43</v>
      </c>
      <c r="D18" s="49"/>
      <c r="E18" s="50">
        <v>10</v>
      </c>
      <c r="F18" s="51" t="s">
        <v>16</v>
      </c>
      <c r="G18" s="69"/>
      <c r="H18" s="73" t="s">
        <v>43</v>
      </c>
      <c r="I18" s="49"/>
      <c r="J18" s="51">
        <f>ROUNDUP(E18*0.75,2)</f>
        <v>7.5</v>
      </c>
      <c r="K18" s="51" t="s">
        <v>16</v>
      </c>
      <c r="L18" s="51"/>
      <c r="M18" s="77" t="e">
        <f>ROUND(#REF!+(#REF!*15/100),2)</f>
        <v>#REF!</v>
      </c>
      <c r="N18" s="65" t="s">
        <v>47</v>
      </c>
      <c r="O18" s="52" t="s">
        <v>31</v>
      </c>
      <c r="P18" s="49"/>
      <c r="Q18" s="53">
        <v>30</v>
      </c>
      <c r="R18" s="85">
        <f>ROUNDUP(Q18*0.75,2)</f>
        <v>22.5</v>
      </c>
    </row>
    <row r="19" spans="1:18" ht="26.1" customHeight="1">
      <c r="A19" s="212"/>
      <c r="B19" s="65"/>
      <c r="C19" s="48"/>
      <c r="D19" s="49"/>
      <c r="E19" s="50"/>
      <c r="F19" s="51"/>
      <c r="G19" s="69"/>
      <c r="H19" s="73"/>
      <c r="I19" s="49"/>
      <c r="J19" s="51"/>
      <c r="K19" s="51"/>
      <c r="L19" s="51"/>
      <c r="M19" s="77"/>
      <c r="N19" s="65"/>
      <c r="O19" s="52"/>
      <c r="P19" s="49"/>
      <c r="Q19" s="53"/>
      <c r="R19" s="85"/>
    </row>
    <row r="20" spans="1:18" ht="26.1" customHeight="1">
      <c r="A20" s="212"/>
      <c r="B20" s="64"/>
      <c r="C20" s="42"/>
      <c r="D20" s="43"/>
      <c r="E20" s="44"/>
      <c r="F20" s="45"/>
      <c r="G20" s="68"/>
      <c r="H20" s="72"/>
      <c r="I20" s="43"/>
      <c r="J20" s="45"/>
      <c r="K20" s="45"/>
      <c r="L20" s="45"/>
      <c r="M20" s="76"/>
      <c r="N20" s="64"/>
      <c r="O20" s="46"/>
      <c r="P20" s="43"/>
      <c r="Q20" s="47"/>
      <c r="R20" s="84"/>
    </row>
    <row r="21" spans="1:18" ht="26.1" customHeight="1">
      <c r="A21" s="212"/>
      <c r="B21" s="65" t="s">
        <v>55</v>
      </c>
      <c r="C21" s="48" t="s">
        <v>125</v>
      </c>
      <c r="D21" s="49"/>
      <c r="E21" s="50">
        <v>20</v>
      </c>
      <c r="F21" s="51" t="s">
        <v>16</v>
      </c>
      <c r="G21" s="69"/>
      <c r="H21" s="73" t="s">
        <v>125</v>
      </c>
      <c r="I21" s="49"/>
      <c r="J21" s="51">
        <f>ROUNDUP(E21*0.75,2)</f>
        <v>15</v>
      </c>
      <c r="K21" s="51" t="s">
        <v>16</v>
      </c>
      <c r="L21" s="51"/>
      <c r="M21" s="77" t="e">
        <f>ROUND(#REF!+(#REF!*3/100),2)</f>
        <v>#REF!</v>
      </c>
      <c r="N21" s="65" t="s">
        <v>47</v>
      </c>
      <c r="O21" s="52" t="s">
        <v>31</v>
      </c>
      <c r="P21" s="49"/>
      <c r="Q21" s="53">
        <v>100</v>
      </c>
      <c r="R21" s="85">
        <f>ROUNDUP(Q21*0.75,2)</f>
        <v>75</v>
      </c>
    </row>
    <row r="22" spans="1:18" ht="26.1" customHeight="1">
      <c r="A22" s="212"/>
      <c r="B22" s="65"/>
      <c r="C22" s="48" t="s">
        <v>50</v>
      </c>
      <c r="D22" s="49"/>
      <c r="E22" s="50">
        <v>5</v>
      </c>
      <c r="F22" s="51" t="s">
        <v>16</v>
      </c>
      <c r="G22" s="69"/>
      <c r="H22" s="73" t="s">
        <v>50</v>
      </c>
      <c r="I22" s="49"/>
      <c r="J22" s="51">
        <f>ROUNDUP(E22*0.75,2)</f>
        <v>3.75</v>
      </c>
      <c r="K22" s="51" t="s">
        <v>16</v>
      </c>
      <c r="L22" s="51"/>
      <c r="M22" s="77" t="e">
        <f>ROUND(#REF!+(#REF!*15/100),2)</f>
        <v>#REF!</v>
      </c>
      <c r="N22" s="65"/>
      <c r="O22" s="52" t="s">
        <v>57</v>
      </c>
      <c r="P22" s="49"/>
      <c r="Q22" s="53">
        <v>3</v>
      </c>
      <c r="R22" s="85">
        <f>ROUNDUP(Q22*0.75,2)</f>
        <v>2.25</v>
      </c>
    </row>
    <row r="23" spans="1:18" ht="26.1" customHeight="1">
      <c r="A23" s="212"/>
      <c r="B23" s="64"/>
      <c r="C23" s="42"/>
      <c r="D23" s="43"/>
      <c r="E23" s="44"/>
      <c r="F23" s="45"/>
      <c r="G23" s="68"/>
      <c r="H23" s="72"/>
      <c r="I23" s="43"/>
      <c r="J23" s="45"/>
      <c r="K23" s="45"/>
      <c r="L23" s="45"/>
      <c r="M23" s="76"/>
      <c r="N23" s="64"/>
      <c r="O23" s="46"/>
      <c r="P23" s="43"/>
      <c r="Q23" s="47"/>
      <c r="R23" s="84"/>
    </row>
    <row r="24" spans="1:18" ht="26.1" customHeight="1">
      <c r="A24" s="212"/>
      <c r="B24" s="65" t="s">
        <v>126</v>
      </c>
      <c r="C24" s="48" t="s">
        <v>127</v>
      </c>
      <c r="D24" s="49"/>
      <c r="E24" s="61">
        <v>0.25</v>
      </c>
      <c r="F24" s="51" t="s">
        <v>42</v>
      </c>
      <c r="G24" s="69"/>
      <c r="H24" s="73" t="s">
        <v>127</v>
      </c>
      <c r="I24" s="49"/>
      <c r="J24" s="51">
        <f>ROUNDUP(E24*0.75,2)</f>
        <v>0.19</v>
      </c>
      <c r="K24" s="51" t="s">
        <v>42</v>
      </c>
      <c r="L24" s="51"/>
      <c r="M24" s="77" t="e">
        <f>#REF!</f>
        <v>#REF!</v>
      </c>
      <c r="N24" s="65" t="s">
        <v>59</v>
      </c>
      <c r="O24" s="52"/>
      <c r="P24" s="49"/>
      <c r="Q24" s="53"/>
      <c r="R24" s="85"/>
    </row>
    <row r="25" spans="1:18" ht="26.1" customHeight="1" thickBot="1">
      <c r="A25" s="213"/>
      <c r="B25" s="66"/>
      <c r="C25" s="55"/>
      <c r="D25" s="56"/>
      <c r="E25" s="57"/>
      <c r="F25" s="58"/>
      <c r="G25" s="70"/>
      <c r="H25" s="74"/>
      <c r="I25" s="56"/>
      <c r="J25" s="58"/>
      <c r="K25" s="58"/>
      <c r="L25" s="58"/>
      <c r="M25" s="78"/>
      <c r="N25" s="66"/>
      <c r="O25" s="59"/>
      <c r="P25" s="56"/>
      <c r="Q25" s="60"/>
      <c r="R25" s="87"/>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222</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135</v>
      </c>
      <c r="C7" s="48" t="s">
        <v>105</v>
      </c>
      <c r="D7" s="49"/>
      <c r="E7" s="50">
        <v>40</v>
      </c>
      <c r="F7" s="51" t="s">
        <v>16</v>
      </c>
      <c r="G7" s="69"/>
      <c r="H7" s="73" t="s">
        <v>105</v>
      </c>
      <c r="I7" s="49"/>
      <c r="J7" s="51">
        <f t="shared" ref="J7:J12" si="0">ROUNDUP(E7*0.75,2)</f>
        <v>30</v>
      </c>
      <c r="K7" s="51" t="s">
        <v>16</v>
      </c>
      <c r="L7" s="51"/>
      <c r="M7" s="77" t="e">
        <f>#REF!</f>
        <v>#REF!</v>
      </c>
      <c r="N7" s="65" t="s">
        <v>136</v>
      </c>
      <c r="O7" s="52" t="s">
        <v>18</v>
      </c>
      <c r="P7" s="49"/>
      <c r="Q7" s="53">
        <v>1</v>
      </c>
      <c r="R7" s="85">
        <f t="shared" ref="R7:R14" si="1">ROUNDUP(Q7*0.75,2)</f>
        <v>0.75</v>
      </c>
    </row>
    <row r="8" spans="1:19" ht="27.95" customHeight="1">
      <c r="A8" s="212"/>
      <c r="B8" s="65"/>
      <c r="C8" s="48" t="s">
        <v>15</v>
      </c>
      <c r="D8" s="49"/>
      <c r="E8" s="50">
        <v>20</v>
      </c>
      <c r="F8" s="51" t="s">
        <v>16</v>
      </c>
      <c r="G8" s="69"/>
      <c r="H8" s="73" t="s">
        <v>15</v>
      </c>
      <c r="I8" s="49"/>
      <c r="J8" s="51">
        <f t="shared" si="0"/>
        <v>15</v>
      </c>
      <c r="K8" s="51" t="s">
        <v>16</v>
      </c>
      <c r="L8" s="51"/>
      <c r="M8" s="77" t="e">
        <f>ROUND(#REF!+(#REF!*6/100),2)</f>
        <v>#REF!</v>
      </c>
      <c r="N8" s="65" t="s">
        <v>137</v>
      </c>
      <c r="O8" s="52" t="s">
        <v>19</v>
      </c>
      <c r="P8" s="49"/>
      <c r="Q8" s="53">
        <v>0.1</v>
      </c>
      <c r="R8" s="85">
        <f t="shared" si="1"/>
        <v>0.08</v>
      </c>
    </row>
    <row r="9" spans="1:19" ht="27.95" customHeight="1">
      <c r="A9" s="212"/>
      <c r="B9" s="65"/>
      <c r="C9" s="48" t="s">
        <v>141</v>
      </c>
      <c r="D9" s="49" t="s">
        <v>34</v>
      </c>
      <c r="E9" s="50">
        <v>5</v>
      </c>
      <c r="F9" s="51" t="s">
        <v>16</v>
      </c>
      <c r="G9" s="69"/>
      <c r="H9" s="73" t="s">
        <v>141</v>
      </c>
      <c r="I9" s="49" t="s">
        <v>34</v>
      </c>
      <c r="J9" s="51">
        <f t="shared" si="0"/>
        <v>3.75</v>
      </c>
      <c r="K9" s="51" t="s">
        <v>16</v>
      </c>
      <c r="L9" s="51"/>
      <c r="M9" s="77" t="e">
        <f>#REF!</f>
        <v>#REF!</v>
      </c>
      <c r="N9" s="65" t="s">
        <v>138</v>
      </c>
      <c r="O9" s="52" t="s">
        <v>20</v>
      </c>
      <c r="P9" s="49"/>
      <c r="Q9" s="53">
        <v>0.01</v>
      </c>
      <c r="R9" s="85">
        <f t="shared" si="1"/>
        <v>0.01</v>
      </c>
    </row>
    <row r="10" spans="1:19" ht="27.95" customHeight="1">
      <c r="A10" s="212"/>
      <c r="B10" s="65"/>
      <c r="C10" s="48" t="s">
        <v>142</v>
      </c>
      <c r="D10" s="49"/>
      <c r="E10" s="50">
        <v>5</v>
      </c>
      <c r="F10" s="51" t="s">
        <v>41</v>
      </c>
      <c r="G10" s="69"/>
      <c r="H10" s="73" t="s">
        <v>142</v>
      </c>
      <c r="I10" s="49"/>
      <c r="J10" s="51">
        <f t="shared" si="0"/>
        <v>3.75</v>
      </c>
      <c r="K10" s="51" t="s">
        <v>41</v>
      </c>
      <c r="L10" s="51"/>
      <c r="M10" s="77" t="e">
        <f>#REF!</f>
        <v>#REF!</v>
      </c>
      <c r="N10" s="65" t="s">
        <v>139</v>
      </c>
      <c r="O10" s="52" t="s">
        <v>18</v>
      </c>
      <c r="P10" s="49"/>
      <c r="Q10" s="53">
        <v>1</v>
      </c>
      <c r="R10" s="85">
        <f t="shared" si="1"/>
        <v>0.75</v>
      </c>
    </row>
    <row r="11" spans="1:19" ht="27.95" customHeight="1">
      <c r="A11" s="212"/>
      <c r="B11" s="65"/>
      <c r="C11" s="48" t="s">
        <v>73</v>
      </c>
      <c r="D11" s="49"/>
      <c r="E11" s="50">
        <v>10</v>
      </c>
      <c r="F11" s="51" t="s">
        <v>16</v>
      </c>
      <c r="G11" s="69"/>
      <c r="H11" s="73" t="s">
        <v>73</v>
      </c>
      <c r="I11" s="49"/>
      <c r="J11" s="51">
        <f t="shared" si="0"/>
        <v>7.5</v>
      </c>
      <c r="K11" s="51" t="s">
        <v>16</v>
      </c>
      <c r="L11" s="51"/>
      <c r="M11" s="77" t="e">
        <f>ROUND(#REF!+(#REF!*2/100),2)</f>
        <v>#REF!</v>
      </c>
      <c r="N11" s="65" t="s">
        <v>140</v>
      </c>
      <c r="O11" s="52" t="s">
        <v>49</v>
      </c>
      <c r="P11" s="49"/>
      <c r="Q11" s="53">
        <v>1</v>
      </c>
      <c r="R11" s="85">
        <f t="shared" si="1"/>
        <v>0.75</v>
      </c>
    </row>
    <row r="12" spans="1:19" ht="27.95" customHeight="1">
      <c r="A12" s="212"/>
      <c r="B12" s="65"/>
      <c r="C12" s="48" t="s">
        <v>29</v>
      </c>
      <c r="D12" s="49"/>
      <c r="E12" s="50">
        <v>5</v>
      </c>
      <c r="F12" s="51" t="s">
        <v>16</v>
      </c>
      <c r="G12" s="69"/>
      <c r="H12" s="73" t="s">
        <v>29</v>
      </c>
      <c r="I12" s="49"/>
      <c r="J12" s="51">
        <f t="shared" si="0"/>
        <v>3.75</v>
      </c>
      <c r="K12" s="51" t="s">
        <v>16</v>
      </c>
      <c r="L12" s="51"/>
      <c r="M12" s="77" t="e">
        <f>ROUND(#REF!+(#REF!*10/100),2)</f>
        <v>#REF!</v>
      </c>
      <c r="N12" s="65" t="s">
        <v>14</v>
      </c>
      <c r="O12" s="52" t="s">
        <v>32</v>
      </c>
      <c r="P12" s="49"/>
      <c r="Q12" s="53">
        <v>1.5</v>
      </c>
      <c r="R12" s="85">
        <f t="shared" si="1"/>
        <v>1.1300000000000001</v>
      </c>
    </row>
    <row r="13" spans="1:19" ht="27.95" customHeight="1">
      <c r="A13" s="212"/>
      <c r="B13" s="65"/>
      <c r="C13" s="48"/>
      <c r="D13" s="49"/>
      <c r="E13" s="50"/>
      <c r="F13" s="51"/>
      <c r="G13" s="69"/>
      <c r="H13" s="73"/>
      <c r="I13" s="49"/>
      <c r="J13" s="51"/>
      <c r="K13" s="51"/>
      <c r="L13" s="51"/>
      <c r="M13" s="77"/>
      <c r="N13" s="65"/>
      <c r="O13" s="52" t="s">
        <v>52</v>
      </c>
      <c r="P13" s="49"/>
      <c r="Q13" s="53">
        <v>1</v>
      </c>
      <c r="R13" s="85">
        <f t="shared" si="1"/>
        <v>0.75</v>
      </c>
    </row>
    <row r="14" spans="1:19" ht="27.95" customHeight="1">
      <c r="A14" s="212"/>
      <c r="B14" s="65"/>
      <c r="C14" s="48"/>
      <c r="D14" s="49"/>
      <c r="E14" s="50"/>
      <c r="F14" s="51"/>
      <c r="G14" s="69"/>
      <c r="H14" s="73"/>
      <c r="I14" s="49"/>
      <c r="J14" s="51"/>
      <c r="K14" s="51"/>
      <c r="L14" s="51"/>
      <c r="M14" s="77"/>
      <c r="N14" s="65"/>
      <c r="O14" s="52" t="s">
        <v>33</v>
      </c>
      <c r="P14" s="49" t="s">
        <v>34</v>
      </c>
      <c r="Q14" s="53">
        <v>1.5</v>
      </c>
      <c r="R14" s="85">
        <f t="shared" si="1"/>
        <v>1.1300000000000001</v>
      </c>
    </row>
    <row r="15" spans="1:19" ht="27.95" customHeight="1">
      <c r="A15" s="212"/>
      <c r="B15" s="64"/>
      <c r="C15" s="42"/>
      <c r="D15" s="43"/>
      <c r="E15" s="44"/>
      <c r="F15" s="45"/>
      <c r="G15" s="68"/>
      <c r="H15" s="72"/>
      <c r="I15" s="43"/>
      <c r="J15" s="45"/>
      <c r="K15" s="45"/>
      <c r="L15" s="45"/>
      <c r="M15" s="76"/>
      <c r="N15" s="64"/>
      <c r="O15" s="46"/>
      <c r="P15" s="43"/>
      <c r="Q15" s="47"/>
      <c r="R15" s="84"/>
    </row>
    <row r="16" spans="1:19" ht="27.95" customHeight="1">
      <c r="A16" s="212"/>
      <c r="B16" s="65" t="s">
        <v>143</v>
      </c>
      <c r="C16" s="48" t="s">
        <v>56</v>
      </c>
      <c r="D16" s="49"/>
      <c r="E16" s="50">
        <v>50</v>
      </c>
      <c r="F16" s="51" t="s">
        <v>16</v>
      </c>
      <c r="G16" s="69"/>
      <c r="H16" s="73" t="s">
        <v>56</v>
      </c>
      <c r="I16" s="49"/>
      <c r="J16" s="51">
        <f>ROUNDUP(E16*0.75,2)</f>
        <v>37.5</v>
      </c>
      <c r="K16" s="51" t="s">
        <v>16</v>
      </c>
      <c r="L16" s="51"/>
      <c r="M16" s="77" t="e">
        <f>ROUND(#REF!+(#REF!*10/100),2)</f>
        <v>#REF!</v>
      </c>
      <c r="N16" s="65" t="s">
        <v>144</v>
      </c>
      <c r="O16" s="52" t="s">
        <v>46</v>
      </c>
      <c r="P16" s="49"/>
      <c r="Q16" s="53">
        <v>30</v>
      </c>
      <c r="R16" s="85">
        <f>ROUNDUP(Q16*0.75,2)</f>
        <v>22.5</v>
      </c>
    </row>
    <row r="17" spans="1:18" ht="27.95" customHeight="1">
      <c r="A17" s="212"/>
      <c r="B17" s="65"/>
      <c r="C17" s="48"/>
      <c r="D17" s="49"/>
      <c r="E17" s="50"/>
      <c r="F17" s="51"/>
      <c r="G17" s="69"/>
      <c r="H17" s="73"/>
      <c r="I17" s="49"/>
      <c r="J17" s="51"/>
      <c r="K17" s="51"/>
      <c r="L17" s="51"/>
      <c r="M17" s="77"/>
      <c r="N17" s="65" t="s">
        <v>145</v>
      </c>
      <c r="O17" s="52" t="s">
        <v>32</v>
      </c>
      <c r="P17" s="49"/>
      <c r="Q17" s="53">
        <v>1</v>
      </c>
      <c r="R17" s="85">
        <f>ROUNDUP(Q17*0.75,2)</f>
        <v>0.75</v>
      </c>
    </row>
    <row r="18" spans="1:18" ht="27.95" customHeight="1">
      <c r="A18" s="212"/>
      <c r="B18" s="65"/>
      <c r="C18" s="48"/>
      <c r="D18" s="49"/>
      <c r="E18" s="50"/>
      <c r="F18" s="51"/>
      <c r="G18" s="69"/>
      <c r="H18" s="73"/>
      <c r="I18" s="49"/>
      <c r="J18" s="51"/>
      <c r="K18" s="51"/>
      <c r="L18" s="51"/>
      <c r="M18" s="77"/>
      <c r="N18" s="65" t="s">
        <v>47</v>
      </c>
      <c r="O18" s="52"/>
      <c r="P18" s="49"/>
      <c r="Q18" s="53"/>
      <c r="R18" s="85"/>
    </row>
    <row r="19" spans="1:18" ht="27.95" customHeight="1">
      <c r="A19" s="212"/>
      <c r="B19" s="65"/>
      <c r="C19" s="48"/>
      <c r="D19" s="49"/>
      <c r="E19" s="50"/>
      <c r="F19" s="51"/>
      <c r="G19" s="69"/>
      <c r="H19" s="73"/>
      <c r="I19" s="49"/>
      <c r="J19" s="51"/>
      <c r="K19" s="51"/>
      <c r="L19" s="51"/>
      <c r="M19" s="77"/>
      <c r="N19" s="65"/>
      <c r="O19" s="52"/>
      <c r="P19" s="49"/>
      <c r="Q19" s="53"/>
      <c r="R19" s="85"/>
    </row>
    <row r="20" spans="1:18" ht="27.95" customHeight="1">
      <c r="A20" s="212"/>
      <c r="B20" s="64"/>
      <c r="C20" s="42"/>
      <c r="D20" s="43"/>
      <c r="E20" s="44"/>
      <c r="F20" s="45"/>
      <c r="G20" s="68"/>
      <c r="H20" s="72"/>
      <c r="I20" s="43"/>
      <c r="J20" s="45"/>
      <c r="K20" s="45"/>
      <c r="L20" s="45"/>
      <c r="M20" s="76"/>
      <c r="N20" s="64"/>
      <c r="O20" s="46"/>
      <c r="P20" s="43"/>
      <c r="Q20" s="47"/>
      <c r="R20" s="84"/>
    </row>
    <row r="21" spans="1:18" ht="27.95" customHeight="1">
      <c r="A21" s="212"/>
      <c r="B21" s="65" t="s">
        <v>55</v>
      </c>
      <c r="C21" s="48" t="s">
        <v>87</v>
      </c>
      <c r="D21" s="49"/>
      <c r="E21" s="50">
        <v>20</v>
      </c>
      <c r="F21" s="51" t="s">
        <v>16</v>
      </c>
      <c r="G21" s="69"/>
      <c r="H21" s="73" t="s">
        <v>87</v>
      </c>
      <c r="I21" s="49"/>
      <c r="J21" s="51">
        <f>ROUNDUP(E21*0.75,2)</f>
        <v>15</v>
      </c>
      <c r="K21" s="51" t="s">
        <v>16</v>
      </c>
      <c r="L21" s="51"/>
      <c r="M21" s="77" t="e">
        <f>ROUND(#REF!+(#REF!*6/100),2)</f>
        <v>#REF!</v>
      </c>
      <c r="N21" s="65" t="s">
        <v>14</v>
      </c>
      <c r="O21" s="52" t="s">
        <v>31</v>
      </c>
      <c r="P21" s="49"/>
      <c r="Q21" s="53">
        <v>100</v>
      </c>
      <c r="R21" s="85">
        <f>ROUNDUP(Q21*0.75,2)</f>
        <v>75</v>
      </c>
    </row>
    <row r="22" spans="1:18" ht="27.95" customHeight="1">
      <c r="A22" s="212"/>
      <c r="B22" s="65"/>
      <c r="C22" s="48" t="s">
        <v>21</v>
      </c>
      <c r="D22" s="49" t="s">
        <v>22</v>
      </c>
      <c r="E22" s="61">
        <v>0.25</v>
      </c>
      <c r="F22" s="51" t="s">
        <v>23</v>
      </c>
      <c r="G22" s="69"/>
      <c r="H22" s="73" t="s">
        <v>21</v>
      </c>
      <c r="I22" s="49" t="s">
        <v>22</v>
      </c>
      <c r="J22" s="51">
        <f>ROUNDUP(E22*0.75,2)</f>
        <v>0.19</v>
      </c>
      <c r="K22" s="51" t="s">
        <v>23</v>
      </c>
      <c r="L22" s="51"/>
      <c r="M22" s="77" t="e">
        <f>#REF!</f>
        <v>#REF!</v>
      </c>
      <c r="N22" s="65"/>
      <c r="O22" s="52" t="s">
        <v>57</v>
      </c>
      <c r="P22" s="49"/>
      <c r="Q22" s="53">
        <v>3</v>
      </c>
      <c r="R22" s="85">
        <f>ROUNDUP(Q22*0.75,2)</f>
        <v>2.25</v>
      </c>
    </row>
    <row r="23" spans="1:18" ht="27.95" customHeight="1" thickBot="1">
      <c r="A23" s="213"/>
      <c r="B23" s="66"/>
      <c r="C23" s="55"/>
      <c r="D23" s="56"/>
      <c r="E23" s="57"/>
      <c r="F23" s="58"/>
      <c r="G23" s="70"/>
      <c r="H23" s="74"/>
      <c r="I23" s="56"/>
      <c r="J23" s="58"/>
      <c r="K23" s="58"/>
      <c r="L23" s="58"/>
      <c r="M23" s="78"/>
      <c r="N23" s="66"/>
      <c r="O23" s="59"/>
      <c r="P23" s="56"/>
      <c r="Q23" s="60"/>
      <c r="R23" s="87"/>
    </row>
  </sheetData>
  <mergeCells count="4">
    <mergeCell ref="H1:N1"/>
    <mergeCell ref="A2:R2"/>
    <mergeCell ref="A3:F3"/>
    <mergeCell ref="A5:A23"/>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223</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110</v>
      </c>
      <c r="C5" s="36" t="s">
        <v>111</v>
      </c>
      <c r="D5" s="37" t="s">
        <v>112</v>
      </c>
      <c r="E5" s="81">
        <v>0.5</v>
      </c>
      <c r="F5" s="39" t="s">
        <v>28</v>
      </c>
      <c r="G5" s="67"/>
      <c r="H5" s="71" t="s">
        <v>111</v>
      </c>
      <c r="I5" s="37" t="s">
        <v>112</v>
      </c>
      <c r="J5" s="39">
        <f>ROUNDUP(E5*0.75,2)</f>
        <v>0.38</v>
      </c>
      <c r="K5" s="39" t="s">
        <v>28</v>
      </c>
      <c r="L5" s="39"/>
      <c r="M5" s="75" t="e">
        <f>#REF!</f>
        <v>#REF!</v>
      </c>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170</v>
      </c>
      <c r="C7" s="48" t="s">
        <v>84</v>
      </c>
      <c r="D7" s="49"/>
      <c r="E7" s="50">
        <v>40</v>
      </c>
      <c r="F7" s="51" t="s">
        <v>16</v>
      </c>
      <c r="G7" s="69"/>
      <c r="H7" s="73" t="s">
        <v>84</v>
      </c>
      <c r="I7" s="49"/>
      <c r="J7" s="51">
        <f>ROUNDUP(E7*0.75,2)</f>
        <v>30</v>
      </c>
      <c r="K7" s="51" t="s">
        <v>16</v>
      </c>
      <c r="L7" s="51"/>
      <c r="M7" s="77" t="e">
        <f>#REF!</f>
        <v>#REF!</v>
      </c>
      <c r="N7" s="65" t="s">
        <v>171</v>
      </c>
      <c r="O7" s="52" t="s">
        <v>49</v>
      </c>
      <c r="P7" s="49"/>
      <c r="Q7" s="53">
        <v>0.5</v>
      </c>
      <c r="R7" s="85">
        <f t="shared" ref="R7:R12" si="0">ROUNDUP(Q7*0.75,2)</f>
        <v>0.38</v>
      </c>
    </row>
    <row r="8" spans="1:19" ht="27.95" customHeight="1">
      <c r="A8" s="212"/>
      <c r="B8" s="65"/>
      <c r="C8" s="48" t="s">
        <v>15</v>
      </c>
      <c r="D8" s="49"/>
      <c r="E8" s="50">
        <v>30</v>
      </c>
      <c r="F8" s="51" t="s">
        <v>16</v>
      </c>
      <c r="G8" s="69"/>
      <c r="H8" s="73" t="s">
        <v>15</v>
      </c>
      <c r="I8" s="49"/>
      <c r="J8" s="51">
        <f>ROUNDUP(E8*0.75,2)</f>
        <v>22.5</v>
      </c>
      <c r="K8" s="51" t="s">
        <v>16</v>
      </c>
      <c r="L8" s="51"/>
      <c r="M8" s="77" t="e">
        <f>ROUND(#REF!+(#REF!*6/100),2)</f>
        <v>#REF!</v>
      </c>
      <c r="N8" s="65" t="s">
        <v>172</v>
      </c>
      <c r="O8" s="52" t="s">
        <v>30</v>
      </c>
      <c r="P8" s="49"/>
      <c r="Q8" s="53">
        <v>2</v>
      </c>
      <c r="R8" s="85">
        <f t="shared" si="0"/>
        <v>1.5</v>
      </c>
    </row>
    <row r="9" spans="1:19" ht="27.95" customHeight="1">
      <c r="A9" s="212"/>
      <c r="B9" s="65"/>
      <c r="C9" s="48" t="s">
        <v>224</v>
      </c>
      <c r="D9" s="49"/>
      <c r="E9" s="50">
        <v>5</v>
      </c>
      <c r="F9" s="51" t="s">
        <v>16</v>
      </c>
      <c r="G9" s="69"/>
      <c r="H9" s="73" t="s">
        <v>224</v>
      </c>
      <c r="I9" s="49"/>
      <c r="J9" s="51">
        <f>ROUNDUP(E9*0.75,2)</f>
        <v>3.75</v>
      </c>
      <c r="K9" s="51" t="s">
        <v>16</v>
      </c>
      <c r="L9" s="51"/>
      <c r="M9" s="77" t="e">
        <f>#REF!</f>
        <v>#REF!</v>
      </c>
      <c r="N9" s="65" t="s">
        <v>47</v>
      </c>
      <c r="O9" s="52" t="s">
        <v>52</v>
      </c>
      <c r="P9" s="49"/>
      <c r="Q9" s="53">
        <v>3</v>
      </c>
      <c r="R9" s="85">
        <f t="shared" si="0"/>
        <v>2.25</v>
      </c>
    </row>
    <row r="10" spans="1:19" ht="27.95" customHeight="1">
      <c r="A10" s="212"/>
      <c r="B10" s="65"/>
      <c r="C10" s="48" t="s">
        <v>173</v>
      </c>
      <c r="D10" s="49"/>
      <c r="E10" s="50">
        <v>5</v>
      </c>
      <c r="F10" s="51" t="s">
        <v>16</v>
      </c>
      <c r="G10" s="69"/>
      <c r="H10" s="73" t="s">
        <v>173</v>
      </c>
      <c r="I10" s="49"/>
      <c r="J10" s="51">
        <f>ROUNDUP(E10*0.75,2)</f>
        <v>3.75</v>
      </c>
      <c r="K10" s="51" t="s">
        <v>16</v>
      </c>
      <c r="L10" s="51"/>
      <c r="M10" s="77" t="e">
        <f>#REF!</f>
        <v>#REF!</v>
      </c>
      <c r="N10" s="65"/>
      <c r="O10" s="52" t="s">
        <v>49</v>
      </c>
      <c r="P10" s="49"/>
      <c r="Q10" s="53">
        <v>1</v>
      </c>
      <c r="R10" s="85">
        <f t="shared" si="0"/>
        <v>0.75</v>
      </c>
    </row>
    <row r="11" spans="1:19" ht="27.95" customHeight="1">
      <c r="A11" s="212"/>
      <c r="B11" s="65"/>
      <c r="C11" s="48"/>
      <c r="D11" s="49"/>
      <c r="E11" s="50"/>
      <c r="F11" s="51"/>
      <c r="G11" s="69"/>
      <c r="H11" s="73"/>
      <c r="I11" s="49"/>
      <c r="J11" s="51"/>
      <c r="K11" s="51"/>
      <c r="L11" s="51"/>
      <c r="M11" s="77"/>
      <c r="N11" s="65"/>
      <c r="O11" s="52" t="s">
        <v>33</v>
      </c>
      <c r="P11" s="49" t="s">
        <v>34</v>
      </c>
      <c r="Q11" s="53">
        <v>1</v>
      </c>
      <c r="R11" s="85">
        <f t="shared" si="0"/>
        <v>0.75</v>
      </c>
    </row>
    <row r="12" spans="1:19" ht="27.95" customHeight="1">
      <c r="A12" s="212"/>
      <c r="B12" s="65"/>
      <c r="C12" s="48"/>
      <c r="D12" s="49"/>
      <c r="E12" s="50"/>
      <c r="F12" s="51"/>
      <c r="G12" s="69"/>
      <c r="H12" s="73"/>
      <c r="I12" s="49"/>
      <c r="J12" s="51"/>
      <c r="K12" s="51"/>
      <c r="L12" s="51"/>
      <c r="M12" s="77"/>
      <c r="N12" s="65"/>
      <c r="O12" s="52" t="s">
        <v>57</v>
      </c>
      <c r="P12" s="49"/>
      <c r="Q12" s="53">
        <v>2.5</v>
      </c>
      <c r="R12" s="85">
        <f t="shared" si="0"/>
        <v>1.8800000000000001</v>
      </c>
    </row>
    <row r="13" spans="1:19" ht="27.95" customHeight="1">
      <c r="A13" s="212"/>
      <c r="B13" s="64"/>
      <c r="C13" s="42"/>
      <c r="D13" s="43"/>
      <c r="E13" s="44"/>
      <c r="F13" s="45"/>
      <c r="G13" s="68"/>
      <c r="H13" s="72"/>
      <c r="I13" s="43"/>
      <c r="J13" s="45"/>
      <c r="K13" s="45"/>
      <c r="L13" s="45"/>
      <c r="M13" s="76"/>
      <c r="N13" s="64"/>
      <c r="O13" s="46"/>
      <c r="P13" s="43"/>
      <c r="Q13" s="47"/>
      <c r="R13" s="84"/>
    </row>
    <row r="14" spans="1:19" ht="27.95" customHeight="1">
      <c r="A14" s="212"/>
      <c r="B14" s="65" t="s">
        <v>174</v>
      </c>
      <c r="C14" s="48" t="s">
        <v>225</v>
      </c>
      <c r="D14" s="49"/>
      <c r="E14" s="50">
        <v>40</v>
      </c>
      <c r="F14" s="51" t="s">
        <v>16</v>
      </c>
      <c r="G14" s="69"/>
      <c r="H14" s="73" t="s">
        <v>225</v>
      </c>
      <c r="I14" s="49"/>
      <c r="J14" s="51">
        <f>ROUNDUP(E14*0.75,2)</f>
        <v>30</v>
      </c>
      <c r="K14" s="51" t="s">
        <v>16</v>
      </c>
      <c r="L14" s="51"/>
      <c r="M14" s="77" t="e">
        <f>#REF!</f>
        <v>#REF!</v>
      </c>
      <c r="N14" s="65" t="s">
        <v>175</v>
      </c>
      <c r="O14" s="52" t="s">
        <v>31</v>
      </c>
      <c r="P14" s="49"/>
      <c r="Q14" s="53">
        <v>2</v>
      </c>
      <c r="R14" s="85">
        <f>ROUNDUP(Q14*0.75,2)</f>
        <v>1.5</v>
      </c>
    </row>
    <row r="15" spans="1:19" ht="27.95" customHeight="1">
      <c r="A15" s="212"/>
      <c r="B15" s="65"/>
      <c r="C15" s="48" t="s">
        <v>86</v>
      </c>
      <c r="D15" s="49"/>
      <c r="E15" s="50">
        <v>0.5</v>
      </c>
      <c r="F15" s="51" t="s">
        <v>16</v>
      </c>
      <c r="G15" s="69"/>
      <c r="H15" s="73" t="s">
        <v>86</v>
      </c>
      <c r="I15" s="49"/>
      <c r="J15" s="51">
        <f>ROUNDUP(E15*0.75,2)</f>
        <v>0.38</v>
      </c>
      <c r="K15" s="51" t="s">
        <v>16</v>
      </c>
      <c r="L15" s="51"/>
      <c r="M15" s="77" t="e">
        <f>#REF!</f>
        <v>#REF!</v>
      </c>
      <c r="N15" s="65" t="s">
        <v>176</v>
      </c>
      <c r="O15" s="52" t="s">
        <v>32</v>
      </c>
      <c r="P15" s="49"/>
      <c r="Q15" s="53">
        <v>1</v>
      </c>
      <c r="R15" s="85">
        <f>ROUNDUP(Q15*0.75,2)</f>
        <v>0.75</v>
      </c>
    </row>
    <row r="16" spans="1:19" ht="27.95" customHeight="1">
      <c r="A16" s="212"/>
      <c r="B16" s="65"/>
      <c r="C16" s="48"/>
      <c r="D16" s="49"/>
      <c r="E16" s="50"/>
      <c r="F16" s="51"/>
      <c r="G16" s="69"/>
      <c r="H16" s="73"/>
      <c r="I16" s="49"/>
      <c r="J16" s="51"/>
      <c r="K16" s="51"/>
      <c r="L16" s="51"/>
      <c r="M16" s="77"/>
      <c r="N16" s="65" t="s">
        <v>14</v>
      </c>
      <c r="O16" s="52" t="s">
        <v>75</v>
      </c>
      <c r="P16" s="49"/>
      <c r="Q16" s="53">
        <v>2</v>
      </c>
      <c r="R16" s="85">
        <f>ROUNDUP(Q16*0.75,2)</f>
        <v>1.5</v>
      </c>
    </row>
    <row r="17" spans="1:18" ht="27.95" customHeight="1">
      <c r="A17" s="212"/>
      <c r="B17" s="65"/>
      <c r="C17" s="48"/>
      <c r="D17" s="49"/>
      <c r="E17" s="50"/>
      <c r="F17" s="51"/>
      <c r="G17" s="69"/>
      <c r="H17" s="73"/>
      <c r="I17" s="49"/>
      <c r="J17" s="51"/>
      <c r="K17" s="51"/>
      <c r="L17" s="51"/>
      <c r="M17" s="77"/>
      <c r="N17" s="65"/>
      <c r="O17" s="52" t="s">
        <v>33</v>
      </c>
      <c r="P17" s="49" t="s">
        <v>34</v>
      </c>
      <c r="Q17" s="53">
        <v>1</v>
      </c>
      <c r="R17" s="85">
        <f>ROUNDUP(Q17*0.75,2)</f>
        <v>0.75</v>
      </c>
    </row>
    <row r="18" spans="1:18" ht="27.95" customHeight="1">
      <c r="A18" s="212"/>
      <c r="B18" s="64"/>
      <c r="C18" s="42"/>
      <c r="D18" s="43"/>
      <c r="E18" s="44"/>
      <c r="F18" s="45"/>
      <c r="G18" s="68"/>
      <c r="H18" s="72"/>
      <c r="I18" s="43"/>
      <c r="J18" s="45"/>
      <c r="K18" s="45"/>
      <c r="L18" s="45"/>
      <c r="M18" s="76"/>
      <c r="N18" s="64"/>
      <c r="O18" s="46"/>
      <c r="P18" s="43"/>
      <c r="Q18" s="47"/>
      <c r="R18" s="84"/>
    </row>
    <row r="19" spans="1:18" ht="27.95" customHeight="1">
      <c r="A19" s="212"/>
      <c r="B19" s="65" t="s">
        <v>35</v>
      </c>
      <c r="C19" s="48" t="s">
        <v>226</v>
      </c>
      <c r="D19" s="49"/>
      <c r="E19" s="50">
        <v>5</v>
      </c>
      <c r="F19" s="51" t="s">
        <v>16</v>
      </c>
      <c r="G19" s="69"/>
      <c r="H19" s="73" t="s">
        <v>226</v>
      </c>
      <c r="I19" s="49"/>
      <c r="J19" s="51">
        <f>ROUNDUP(E19*0.75,2)</f>
        <v>3.75</v>
      </c>
      <c r="K19" s="51" t="s">
        <v>16</v>
      </c>
      <c r="L19" s="51"/>
      <c r="M19" s="77" t="e">
        <f>#REF!</f>
        <v>#REF!</v>
      </c>
      <c r="N19" s="65" t="s">
        <v>14</v>
      </c>
      <c r="O19" s="52" t="s">
        <v>31</v>
      </c>
      <c r="P19" s="49"/>
      <c r="Q19" s="53">
        <v>100</v>
      </c>
      <c r="R19" s="85">
        <f>ROUNDUP(Q19*0.75,2)</f>
        <v>75</v>
      </c>
    </row>
    <row r="20" spans="1:18" ht="27.95" customHeight="1">
      <c r="A20" s="212"/>
      <c r="B20" s="65"/>
      <c r="C20" s="48" t="s">
        <v>146</v>
      </c>
      <c r="D20" s="49"/>
      <c r="E20" s="50">
        <v>3</v>
      </c>
      <c r="F20" s="51" t="s">
        <v>16</v>
      </c>
      <c r="G20" s="69"/>
      <c r="H20" s="73" t="s">
        <v>146</v>
      </c>
      <c r="I20" s="49"/>
      <c r="J20" s="51">
        <f>ROUNDUP(E20*0.75,2)</f>
        <v>2.25</v>
      </c>
      <c r="K20" s="51" t="s">
        <v>16</v>
      </c>
      <c r="L20" s="51"/>
      <c r="M20" s="77" t="e">
        <f>#REF!</f>
        <v>#REF!</v>
      </c>
      <c r="N20" s="65"/>
      <c r="O20" s="52" t="s">
        <v>19</v>
      </c>
      <c r="P20" s="49"/>
      <c r="Q20" s="53">
        <v>0.1</v>
      </c>
      <c r="R20" s="85">
        <f>ROUNDUP(Q20*0.75,2)</f>
        <v>0.08</v>
      </c>
    </row>
    <row r="21" spans="1:18" ht="27.95" customHeight="1">
      <c r="A21" s="212"/>
      <c r="B21" s="65"/>
      <c r="C21" s="48"/>
      <c r="D21" s="49"/>
      <c r="E21" s="50"/>
      <c r="F21" s="51"/>
      <c r="G21" s="69"/>
      <c r="H21" s="73"/>
      <c r="I21" s="49"/>
      <c r="J21" s="51"/>
      <c r="K21" s="51"/>
      <c r="L21" s="51"/>
      <c r="M21" s="77"/>
      <c r="N21" s="65"/>
      <c r="O21" s="52" t="s">
        <v>33</v>
      </c>
      <c r="P21" s="49" t="s">
        <v>34</v>
      </c>
      <c r="Q21" s="53">
        <v>0.5</v>
      </c>
      <c r="R21" s="85">
        <f>ROUNDUP(Q21*0.75,2)</f>
        <v>0.38</v>
      </c>
    </row>
    <row r="22" spans="1:18" ht="27.95" customHeight="1" thickBot="1">
      <c r="A22" s="213"/>
      <c r="B22" s="66"/>
      <c r="C22" s="55"/>
      <c r="D22" s="56"/>
      <c r="E22" s="57"/>
      <c r="F22" s="58"/>
      <c r="G22" s="70"/>
      <c r="H22" s="74"/>
      <c r="I22" s="56"/>
      <c r="J22" s="58"/>
      <c r="K22" s="58"/>
      <c r="L22" s="58"/>
      <c r="M22" s="78"/>
      <c r="N22" s="66"/>
      <c r="O22" s="59"/>
      <c r="P22" s="56"/>
      <c r="Q22" s="60"/>
      <c r="R22" s="87"/>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227</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178</v>
      </c>
      <c r="C7" s="48" t="s">
        <v>147</v>
      </c>
      <c r="D7" s="49"/>
      <c r="E7" s="50">
        <v>1</v>
      </c>
      <c r="F7" s="51" t="s">
        <v>48</v>
      </c>
      <c r="G7" s="69" t="s">
        <v>27</v>
      </c>
      <c r="H7" s="73" t="s">
        <v>147</v>
      </c>
      <c r="I7" s="49"/>
      <c r="J7" s="51">
        <f>ROUNDUP(E7*0.75,2)</f>
        <v>0.75</v>
      </c>
      <c r="K7" s="51" t="s">
        <v>48</v>
      </c>
      <c r="L7" s="51" t="s">
        <v>27</v>
      </c>
      <c r="M7" s="77" t="e">
        <f>#REF!</f>
        <v>#REF!</v>
      </c>
      <c r="N7" s="65" t="s">
        <v>179</v>
      </c>
      <c r="O7" s="52" t="s">
        <v>44</v>
      </c>
      <c r="P7" s="49" t="s">
        <v>34</v>
      </c>
      <c r="Q7" s="53">
        <v>3</v>
      </c>
      <c r="R7" s="85">
        <f>ROUNDUP(Q7*0.75,2)</f>
        <v>2.25</v>
      </c>
    </row>
    <row r="8" spans="1:19" ht="27.95" customHeight="1">
      <c r="A8" s="212"/>
      <c r="B8" s="65"/>
      <c r="C8" s="48" t="s">
        <v>21</v>
      </c>
      <c r="D8" s="49" t="s">
        <v>22</v>
      </c>
      <c r="E8" s="61">
        <v>0.25</v>
      </c>
      <c r="F8" s="51" t="s">
        <v>23</v>
      </c>
      <c r="G8" s="69"/>
      <c r="H8" s="73" t="s">
        <v>21</v>
      </c>
      <c r="I8" s="49" t="s">
        <v>22</v>
      </c>
      <c r="J8" s="51">
        <f>ROUNDUP(E8*0.75,2)</f>
        <v>0.19</v>
      </c>
      <c r="K8" s="51" t="s">
        <v>23</v>
      </c>
      <c r="L8" s="51"/>
      <c r="M8" s="77" t="e">
        <f>#REF!</f>
        <v>#REF!</v>
      </c>
      <c r="N8" s="65" t="s">
        <v>180</v>
      </c>
      <c r="O8" s="52" t="s">
        <v>18</v>
      </c>
      <c r="P8" s="49"/>
      <c r="Q8" s="53">
        <v>2</v>
      </c>
      <c r="R8" s="85">
        <f>ROUNDUP(Q8*0.75,2)</f>
        <v>1.5</v>
      </c>
    </row>
    <row r="9" spans="1:19" ht="27.95" customHeight="1">
      <c r="A9" s="212"/>
      <c r="B9" s="65"/>
      <c r="C9" s="48" t="s">
        <v>164</v>
      </c>
      <c r="D9" s="49"/>
      <c r="E9" s="50">
        <v>5</v>
      </c>
      <c r="F9" s="51" t="s">
        <v>16</v>
      </c>
      <c r="G9" s="69"/>
      <c r="H9" s="73" t="s">
        <v>164</v>
      </c>
      <c r="I9" s="49"/>
      <c r="J9" s="51">
        <f>ROUNDUP(E9*0.75,2)</f>
        <v>3.75</v>
      </c>
      <c r="K9" s="51" t="s">
        <v>16</v>
      </c>
      <c r="L9" s="51"/>
      <c r="M9" s="77" t="e">
        <f>ROUND(#REF!+(#REF!*10/100),2)</f>
        <v>#REF!</v>
      </c>
      <c r="N9" s="65" t="s">
        <v>181</v>
      </c>
      <c r="O9" s="52" t="s">
        <v>148</v>
      </c>
      <c r="P9" s="49" t="s">
        <v>149</v>
      </c>
      <c r="Q9" s="53">
        <v>4</v>
      </c>
      <c r="R9" s="85">
        <f>ROUNDUP(Q9*0.75,2)</f>
        <v>3</v>
      </c>
    </row>
    <row r="10" spans="1:19" ht="27.95" customHeight="1">
      <c r="A10" s="212"/>
      <c r="B10" s="65"/>
      <c r="C10" s="48" t="s">
        <v>25</v>
      </c>
      <c r="D10" s="49"/>
      <c r="E10" s="50">
        <v>20</v>
      </c>
      <c r="F10" s="51" t="s">
        <v>16</v>
      </c>
      <c r="G10" s="69"/>
      <c r="H10" s="73" t="s">
        <v>25</v>
      </c>
      <c r="I10" s="49"/>
      <c r="J10" s="51">
        <f>ROUNDUP(E10*0.75,2)</f>
        <v>15</v>
      </c>
      <c r="K10" s="51" t="s">
        <v>16</v>
      </c>
      <c r="L10" s="51"/>
      <c r="M10" s="77" t="e">
        <f>ROUND(#REF!+(#REF!*3/100),2)</f>
        <v>#REF!</v>
      </c>
      <c r="N10" s="65" t="s">
        <v>182</v>
      </c>
      <c r="O10" s="52" t="s">
        <v>19</v>
      </c>
      <c r="P10" s="49"/>
      <c r="Q10" s="53">
        <v>0.1</v>
      </c>
      <c r="R10" s="85">
        <f>ROUNDUP(Q10*0.75,2)</f>
        <v>0.08</v>
      </c>
    </row>
    <row r="11" spans="1:19" ht="27.95" customHeight="1">
      <c r="A11" s="212"/>
      <c r="B11" s="65"/>
      <c r="C11" s="48"/>
      <c r="D11" s="49"/>
      <c r="E11" s="50"/>
      <c r="F11" s="51"/>
      <c r="G11" s="69"/>
      <c r="H11" s="73"/>
      <c r="I11" s="49"/>
      <c r="J11" s="51"/>
      <c r="K11" s="51"/>
      <c r="L11" s="51"/>
      <c r="M11" s="77"/>
      <c r="N11" s="65" t="s">
        <v>47</v>
      </c>
      <c r="O11" s="52" t="s">
        <v>20</v>
      </c>
      <c r="P11" s="49"/>
      <c r="Q11" s="53">
        <v>0.01</v>
      </c>
      <c r="R11" s="85">
        <f>ROUNDUP(Q11*0.75,2)</f>
        <v>0.01</v>
      </c>
    </row>
    <row r="12" spans="1:19" ht="27.95" customHeight="1">
      <c r="A12" s="212"/>
      <c r="B12" s="65"/>
      <c r="C12" s="48"/>
      <c r="D12" s="49"/>
      <c r="E12" s="50"/>
      <c r="F12" s="51"/>
      <c r="G12" s="69"/>
      <c r="H12" s="73"/>
      <c r="I12" s="49"/>
      <c r="J12" s="51"/>
      <c r="K12" s="51"/>
      <c r="L12" s="51"/>
      <c r="M12" s="77"/>
      <c r="N12" s="65" t="s">
        <v>163</v>
      </c>
      <c r="O12" s="52"/>
      <c r="P12" s="49"/>
      <c r="Q12" s="53"/>
      <c r="R12" s="85"/>
    </row>
    <row r="13" spans="1:19" ht="27.95" customHeight="1">
      <c r="A13" s="212"/>
      <c r="B13" s="65"/>
      <c r="C13" s="48"/>
      <c r="D13" s="49"/>
      <c r="E13" s="50"/>
      <c r="F13" s="51"/>
      <c r="G13" s="69"/>
      <c r="H13" s="73"/>
      <c r="I13" s="49"/>
      <c r="J13" s="51"/>
      <c r="K13" s="51"/>
      <c r="L13" s="51"/>
      <c r="M13" s="77"/>
      <c r="N13" s="65"/>
      <c r="O13" s="52"/>
      <c r="P13" s="49"/>
      <c r="Q13" s="53"/>
      <c r="R13" s="85"/>
    </row>
    <row r="14" spans="1:19" ht="27.95" customHeight="1">
      <c r="A14" s="212"/>
      <c r="B14" s="64"/>
      <c r="C14" s="42"/>
      <c r="D14" s="43"/>
      <c r="E14" s="44"/>
      <c r="F14" s="45"/>
      <c r="G14" s="68"/>
      <c r="H14" s="72"/>
      <c r="I14" s="43"/>
      <c r="J14" s="45"/>
      <c r="K14" s="45"/>
      <c r="L14" s="45"/>
      <c r="M14" s="76"/>
      <c r="N14" s="64"/>
      <c r="O14" s="46"/>
      <c r="P14" s="43"/>
      <c r="Q14" s="47"/>
      <c r="R14" s="84"/>
    </row>
    <row r="15" spans="1:19" ht="27.95" customHeight="1">
      <c r="A15" s="212"/>
      <c r="B15" s="65" t="s">
        <v>183</v>
      </c>
      <c r="C15" s="48" t="s">
        <v>71</v>
      </c>
      <c r="D15" s="49"/>
      <c r="E15" s="61">
        <v>0.25</v>
      </c>
      <c r="F15" s="51" t="s">
        <v>72</v>
      </c>
      <c r="G15" s="69"/>
      <c r="H15" s="73" t="s">
        <v>71</v>
      </c>
      <c r="I15" s="49"/>
      <c r="J15" s="51">
        <f>ROUNDUP(E15*0.75,2)</f>
        <v>0.19</v>
      </c>
      <c r="K15" s="51" t="s">
        <v>72</v>
      </c>
      <c r="L15" s="51"/>
      <c r="M15" s="77" t="e">
        <f>#REF!</f>
        <v>#REF!</v>
      </c>
      <c r="N15" s="65" t="s">
        <v>165</v>
      </c>
      <c r="O15" s="52" t="s">
        <v>30</v>
      </c>
      <c r="P15" s="49"/>
      <c r="Q15" s="53">
        <v>1</v>
      </c>
      <c r="R15" s="85">
        <f>ROUNDUP(Q15*0.75,2)</f>
        <v>0.75</v>
      </c>
    </row>
    <row r="16" spans="1:19" ht="27.95" customHeight="1">
      <c r="A16" s="212"/>
      <c r="B16" s="65"/>
      <c r="C16" s="48" t="s">
        <v>53</v>
      </c>
      <c r="D16" s="49"/>
      <c r="E16" s="50">
        <v>20</v>
      </c>
      <c r="F16" s="51" t="s">
        <v>16</v>
      </c>
      <c r="G16" s="69"/>
      <c r="H16" s="73" t="s">
        <v>53</v>
      </c>
      <c r="I16" s="49"/>
      <c r="J16" s="51">
        <f>ROUNDUP(E16*0.75,2)</f>
        <v>15</v>
      </c>
      <c r="K16" s="51" t="s">
        <v>16</v>
      </c>
      <c r="L16" s="51"/>
      <c r="M16" s="77" t="e">
        <f>ROUND(#REF!+(#REF!*15/100),2)</f>
        <v>#REF!</v>
      </c>
      <c r="N16" s="65" t="s">
        <v>184</v>
      </c>
      <c r="O16" s="52" t="s">
        <v>31</v>
      </c>
      <c r="P16" s="49"/>
      <c r="Q16" s="53">
        <v>30</v>
      </c>
      <c r="R16" s="85">
        <f>ROUNDUP(Q16*0.75,2)</f>
        <v>22.5</v>
      </c>
    </row>
    <row r="17" spans="1:18" ht="27.95" customHeight="1">
      <c r="A17" s="212"/>
      <c r="B17" s="65"/>
      <c r="C17" s="48" t="s">
        <v>29</v>
      </c>
      <c r="D17" s="49"/>
      <c r="E17" s="50">
        <v>10</v>
      </c>
      <c r="F17" s="51" t="s">
        <v>16</v>
      </c>
      <c r="G17" s="69"/>
      <c r="H17" s="73" t="s">
        <v>29</v>
      </c>
      <c r="I17" s="49"/>
      <c r="J17" s="51">
        <f>ROUNDUP(E17*0.75,2)</f>
        <v>7.5</v>
      </c>
      <c r="K17" s="51" t="s">
        <v>16</v>
      </c>
      <c r="L17" s="51"/>
      <c r="M17" s="77" t="e">
        <f>ROUND(#REF!+(#REF!*10/100),2)</f>
        <v>#REF!</v>
      </c>
      <c r="N17" s="65" t="s">
        <v>14</v>
      </c>
      <c r="O17" s="52" t="s">
        <v>52</v>
      </c>
      <c r="P17" s="49"/>
      <c r="Q17" s="53">
        <v>3</v>
      </c>
      <c r="R17" s="85">
        <f>ROUNDUP(Q17*0.75,2)</f>
        <v>2.25</v>
      </c>
    </row>
    <row r="18" spans="1:18" ht="27.95" customHeight="1">
      <c r="A18" s="212"/>
      <c r="B18" s="65"/>
      <c r="C18" s="48"/>
      <c r="D18" s="49"/>
      <c r="E18" s="50"/>
      <c r="F18" s="51"/>
      <c r="G18" s="69"/>
      <c r="H18" s="73"/>
      <c r="I18" s="49"/>
      <c r="J18" s="51"/>
      <c r="K18" s="51"/>
      <c r="L18" s="51"/>
      <c r="M18" s="77"/>
      <c r="N18" s="65"/>
      <c r="O18" s="52" t="s">
        <v>33</v>
      </c>
      <c r="P18" s="49" t="s">
        <v>34</v>
      </c>
      <c r="Q18" s="53">
        <v>2</v>
      </c>
      <c r="R18" s="85">
        <f>ROUNDUP(Q18*0.75,2)</f>
        <v>1.5</v>
      </c>
    </row>
    <row r="19" spans="1:18" ht="27.95" customHeight="1">
      <c r="A19" s="212"/>
      <c r="B19" s="64"/>
      <c r="C19" s="42"/>
      <c r="D19" s="43"/>
      <c r="E19" s="44"/>
      <c r="F19" s="45"/>
      <c r="G19" s="68"/>
      <c r="H19" s="72"/>
      <c r="I19" s="43"/>
      <c r="J19" s="45"/>
      <c r="K19" s="45"/>
      <c r="L19" s="45"/>
      <c r="M19" s="76"/>
      <c r="N19" s="64"/>
      <c r="O19" s="46"/>
      <c r="P19" s="43"/>
      <c r="Q19" s="47"/>
      <c r="R19" s="84"/>
    </row>
    <row r="20" spans="1:18" ht="27.95" customHeight="1">
      <c r="A20" s="212"/>
      <c r="B20" s="65" t="s">
        <v>55</v>
      </c>
      <c r="C20" s="48" t="s">
        <v>36</v>
      </c>
      <c r="D20" s="49"/>
      <c r="E20" s="50">
        <v>20</v>
      </c>
      <c r="F20" s="51" t="s">
        <v>16</v>
      </c>
      <c r="G20" s="69"/>
      <c r="H20" s="73" t="s">
        <v>36</v>
      </c>
      <c r="I20" s="49"/>
      <c r="J20" s="51">
        <f>ROUNDUP(E20*0.75,2)</f>
        <v>15</v>
      </c>
      <c r="K20" s="51" t="s">
        <v>16</v>
      </c>
      <c r="L20" s="51"/>
      <c r="M20" s="77" t="e">
        <f>ROUND(#REF!+(#REF!*15/100),2)</f>
        <v>#REF!</v>
      </c>
      <c r="N20" s="65" t="s">
        <v>14</v>
      </c>
      <c r="O20" s="52" t="s">
        <v>31</v>
      </c>
      <c r="P20" s="49"/>
      <c r="Q20" s="53">
        <v>100</v>
      </c>
      <c r="R20" s="85">
        <f>ROUNDUP(Q20*0.75,2)</f>
        <v>75</v>
      </c>
    </row>
    <row r="21" spans="1:18" ht="27.95" customHeight="1">
      <c r="A21" s="212"/>
      <c r="B21" s="65"/>
      <c r="C21" s="48" t="s">
        <v>90</v>
      </c>
      <c r="D21" s="49" t="s">
        <v>34</v>
      </c>
      <c r="E21" s="54">
        <v>0.1</v>
      </c>
      <c r="F21" s="51" t="s">
        <v>28</v>
      </c>
      <c r="G21" s="69"/>
      <c r="H21" s="73" t="s">
        <v>90</v>
      </c>
      <c r="I21" s="49" t="s">
        <v>34</v>
      </c>
      <c r="J21" s="51">
        <f>ROUNDUP(E21*0.75,2)</f>
        <v>0.08</v>
      </c>
      <c r="K21" s="51" t="s">
        <v>28</v>
      </c>
      <c r="L21" s="51"/>
      <c r="M21" s="77" t="e">
        <f>#REF!</f>
        <v>#REF!</v>
      </c>
      <c r="N21" s="65"/>
      <c r="O21" s="52" t="s">
        <v>57</v>
      </c>
      <c r="P21" s="49"/>
      <c r="Q21" s="53">
        <v>3</v>
      </c>
      <c r="R21" s="85">
        <f>ROUNDUP(Q21*0.75,2)</f>
        <v>2.25</v>
      </c>
    </row>
    <row r="22" spans="1:18" ht="27.95" customHeight="1">
      <c r="A22" s="212"/>
      <c r="B22" s="64"/>
      <c r="C22" s="42"/>
      <c r="D22" s="43"/>
      <c r="E22" s="44"/>
      <c r="F22" s="45"/>
      <c r="G22" s="68"/>
      <c r="H22" s="72"/>
      <c r="I22" s="43"/>
      <c r="J22" s="45"/>
      <c r="K22" s="45"/>
      <c r="L22" s="45"/>
      <c r="M22" s="76"/>
      <c r="N22" s="64"/>
      <c r="O22" s="46"/>
      <c r="P22" s="43"/>
      <c r="Q22" s="47"/>
      <c r="R22" s="84"/>
    </row>
    <row r="23" spans="1:18" ht="27.95" customHeight="1">
      <c r="A23" s="212"/>
      <c r="B23" s="65" t="s">
        <v>113</v>
      </c>
      <c r="C23" s="48" t="s">
        <v>114</v>
      </c>
      <c r="D23" s="49"/>
      <c r="E23" s="62">
        <v>0.16666666666666666</v>
      </c>
      <c r="F23" s="51" t="s">
        <v>23</v>
      </c>
      <c r="G23" s="69"/>
      <c r="H23" s="73" t="s">
        <v>114</v>
      </c>
      <c r="I23" s="49"/>
      <c r="J23" s="51">
        <f>ROUNDUP(E23*0.75,2)</f>
        <v>0.13</v>
      </c>
      <c r="K23" s="51" t="s">
        <v>23</v>
      </c>
      <c r="L23" s="51"/>
      <c r="M23" s="77" t="e">
        <f>#REF!</f>
        <v>#REF!</v>
      </c>
      <c r="N23" s="65" t="s">
        <v>59</v>
      </c>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228</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187</v>
      </c>
      <c r="C5" s="36" t="s">
        <v>167</v>
      </c>
      <c r="D5" s="37" t="s">
        <v>168</v>
      </c>
      <c r="E5" s="38">
        <v>40</v>
      </c>
      <c r="F5" s="39" t="s">
        <v>16</v>
      </c>
      <c r="G5" s="67"/>
      <c r="H5" s="71" t="s">
        <v>167</v>
      </c>
      <c r="I5" s="37" t="s">
        <v>168</v>
      </c>
      <c r="J5" s="39">
        <f t="shared" ref="J5:J10" si="0">ROUNDUP(E5*0.75,2)</f>
        <v>30</v>
      </c>
      <c r="K5" s="39" t="s">
        <v>16</v>
      </c>
      <c r="L5" s="39"/>
      <c r="M5" s="75" t="e">
        <f>#REF!</f>
        <v>#REF!</v>
      </c>
      <c r="N5" s="63" t="s">
        <v>188</v>
      </c>
      <c r="O5" s="40" t="s">
        <v>18</v>
      </c>
      <c r="P5" s="37"/>
      <c r="Q5" s="41">
        <v>2</v>
      </c>
      <c r="R5" s="83">
        <f t="shared" ref="R5:R10" si="1">ROUNDUP(Q5*0.75,2)</f>
        <v>1.5</v>
      </c>
    </row>
    <row r="6" spans="1:19" ht="27.95" customHeight="1">
      <c r="A6" s="212"/>
      <c r="B6" s="65"/>
      <c r="C6" s="48" t="s">
        <v>67</v>
      </c>
      <c r="D6" s="49"/>
      <c r="E6" s="50">
        <v>20</v>
      </c>
      <c r="F6" s="51" t="s">
        <v>16</v>
      </c>
      <c r="G6" s="69"/>
      <c r="H6" s="73" t="s">
        <v>67</v>
      </c>
      <c r="I6" s="49"/>
      <c r="J6" s="51">
        <f t="shared" si="0"/>
        <v>15</v>
      </c>
      <c r="K6" s="51" t="s">
        <v>16</v>
      </c>
      <c r="L6" s="51"/>
      <c r="M6" s="77" t="e">
        <f>#REF!</f>
        <v>#REF!</v>
      </c>
      <c r="N6" s="65" t="s">
        <v>244</v>
      </c>
      <c r="O6" s="52" t="s">
        <v>31</v>
      </c>
      <c r="P6" s="49"/>
      <c r="Q6" s="53">
        <v>180</v>
      </c>
      <c r="R6" s="85">
        <f t="shared" si="1"/>
        <v>135</v>
      </c>
    </row>
    <row r="7" spans="1:19" ht="27.95" customHeight="1">
      <c r="A7" s="212"/>
      <c r="B7" s="65"/>
      <c r="C7" s="48" t="s">
        <v>15</v>
      </c>
      <c r="D7" s="49"/>
      <c r="E7" s="50">
        <v>30</v>
      </c>
      <c r="F7" s="51" t="s">
        <v>16</v>
      </c>
      <c r="G7" s="69"/>
      <c r="H7" s="73" t="s">
        <v>15</v>
      </c>
      <c r="I7" s="49"/>
      <c r="J7" s="51">
        <f t="shared" si="0"/>
        <v>22.5</v>
      </c>
      <c r="K7" s="51" t="s">
        <v>16</v>
      </c>
      <c r="L7" s="51"/>
      <c r="M7" s="77" t="e">
        <f>ROUND(#REF!+(#REF!*6/100),2)</f>
        <v>#REF!</v>
      </c>
      <c r="N7" s="65" t="s">
        <v>245</v>
      </c>
      <c r="O7" s="52" t="s">
        <v>32</v>
      </c>
      <c r="P7" s="49"/>
      <c r="Q7" s="53">
        <v>1</v>
      </c>
      <c r="R7" s="85">
        <f t="shared" si="1"/>
        <v>0.75</v>
      </c>
    </row>
    <row r="8" spans="1:19" ht="27.95" customHeight="1">
      <c r="A8" s="212"/>
      <c r="B8" s="65"/>
      <c r="C8" s="48" t="s">
        <v>29</v>
      </c>
      <c r="D8" s="49"/>
      <c r="E8" s="50">
        <v>10</v>
      </c>
      <c r="F8" s="51" t="s">
        <v>16</v>
      </c>
      <c r="G8" s="69"/>
      <c r="H8" s="73" t="s">
        <v>29</v>
      </c>
      <c r="I8" s="49"/>
      <c r="J8" s="51">
        <f t="shared" si="0"/>
        <v>7.5</v>
      </c>
      <c r="K8" s="51" t="s">
        <v>16</v>
      </c>
      <c r="L8" s="51"/>
      <c r="M8" s="77" t="e">
        <f>ROUND(#REF!+(#REF!*10/100),2)</f>
        <v>#REF!</v>
      </c>
      <c r="N8" s="65" t="s">
        <v>189</v>
      </c>
      <c r="O8" s="52" t="s">
        <v>52</v>
      </c>
      <c r="P8" s="49"/>
      <c r="Q8" s="53">
        <v>2</v>
      </c>
      <c r="R8" s="85">
        <f t="shared" si="1"/>
        <v>1.5</v>
      </c>
    </row>
    <row r="9" spans="1:19" ht="27.95" customHeight="1">
      <c r="A9" s="212"/>
      <c r="B9" s="65"/>
      <c r="C9" s="48" t="s">
        <v>191</v>
      </c>
      <c r="D9" s="49" t="s">
        <v>34</v>
      </c>
      <c r="E9" s="50">
        <v>5</v>
      </c>
      <c r="F9" s="51" t="s">
        <v>16</v>
      </c>
      <c r="G9" s="69"/>
      <c r="H9" s="73" t="s">
        <v>191</v>
      </c>
      <c r="I9" s="49" t="s">
        <v>34</v>
      </c>
      <c r="J9" s="51">
        <f t="shared" si="0"/>
        <v>3.75</v>
      </c>
      <c r="K9" s="51" t="s">
        <v>16</v>
      </c>
      <c r="L9" s="51"/>
      <c r="M9" s="77" t="e">
        <f>#REF!</f>
        <v>#REF!</v>
      </c>
      <c r="N9" s="65" t="s">
        <v>190</v>
      </c>
      <c r="O9" s="52" t="s">
        <v>33</v>
      </c>
      <c r="P9" s="49" t="s">
        <v>34</v>
      </c>
      <c r="Q9" s="53">
        <v>2.5</v>
      </c>
      <c r="R9" s="85">
        <f t="shared" si="1"/>
        <v>1.8800000000000001</v>
      </c>
    </row>
    <row r="10" spans="1:19" ht="27.95" customHeight="1">
      <c r="A10" s="212"/>
      <c r="B10" s="65"/>
      <c r="C10" s="48" t="s">
        <v>68</v>
      </c>
      <c r="D10" s="49"/>
      <c r="E10" s="50">
        <v>5</v>
      </c>
      <c r="F10" s="51" t="s">
        <v>16</v>
      </c>
      <c r="G10" s="69"/>
      <c r="H10" s="73" t="s">
        <v>68</v>
      </c>
      <c r="I10" s="49"/>
      <c r="J10" s="51">
        <f t="shared" si="0"/>
        <v>3.75</v>
      </c>
      <c r="K10" s="51" t="s">
        <v>16</v>
      </c>
      <c r="L10" s="51"/>
      <c r="M10" s="77" t="e">
        <f>#REF!</f>
        <v>#REF!</v>
      </c>
      <c r="N10" s="65" t="s">
        <v>80</v>
      </c>
      <c r="O10" s="52" t="s">
        <v>45</v>
      </c>
      <c r="P10" s="49"/>
      <c r="Q10" s="53">
        <v>2</v>
      </c>
      <c r="R10" s="85">
        <f t="shared" si="1"/>
        <v>1.5</v>
      </c>
    </row>
    <row r="11" spans="1:19" ht="27.95" customHeight="1">
      <c r="A11" s="212"/>
      <c r="B11" s="64"/>
      <c r="C11" s="42"/>
      <c r="D11" s="43"/>
      <c r="E11" s="44"/>
      <c r="F11" s="45"/>
      <c r="G11" s="68"/>
      <c r="H11" s="72"/>
      <c r="I11" s="43"/>
      <c r="J11" s="45"/>
      <c r="K11" s="45"/>
      <c r="L11" s="45"/>
      <c r="M11" s="76"/>
      <c r="N11" s="64" t="s">
        <v>14</v>
      </c>
      <c r="O11" s="46"/>
      <c r="P11" s="43"/>
      <c r="Q11" s="47"/>
      <c r="R11" s="84"/>
    </row>
    <row r="12" spans="1:19" ht="27.95" customHeight="1">
      <c r="A12" s="212"/>
      <c r="B12" s="65" t="s">
        <v>192</v>
      </c>
      <c r="C12" s="48" t="s">
        <v>125</v>
      </c>
      <c r="D12" s="49"/>
      <c r="E12" s="50">
        <v>30</v>
      </c>
      <c r="F12" s="51" t="s">
        <v>16</v>
      </c>
      <c r="G12" s="69"/>
      <c r="H12" s="73" t="s">
        <v>125</v>
      </c>
      <c r="I12" s="49"/>
      <c r="J12" s="51">
        <f>ROUNDUP(E12*0.75,2)</f>
        <v>22.5</v>
      </c>
      <c r="K12" s="51" t="s">
        <v>16</v>
      </c>
      <c r="L12" s="51"/>
      <c r="M12" s="77" t="e">
        <f>ROUND(#REF!+(#REF!*3/100),2)</f>
        <v>#REF!</v>
      </c>
      <c r="N12" s="65" t="s">
        <v>193</v>
      </c>
      <c r="O12" s="52" t="s">
        <v>32</v>
      </c>
      <c r="P12" s="49"/>
      <c r="Q12" s="53">
        <v>0.3</v>
      </c>
      <c r="R12" s="85">
        <f>ROUNDUP(Q12*0.75,2)</f>
        <v>0.23</v>
      </c>
    </row>
    <row r="13" spans="1:19" ht="27.95" customHeight="1">
      <c r="A13" s="212"/>
      <c r="B13" s="65"/>
      <c r="C13" s="48" t="s">
        <v>73</v>
      </c>
      <c r="D13" s="49"/>
      <c r="E13" s="50">
        <v>10</v>
      </c>
      <c r="F13" s="51" t="s">
        <v>16</v>
      </c>
      <c r="G13" s="69"/>
      <c r="H13" s="73" t="s">
        <v>73</v>
      </c>
      <c r="I13" s="49"/>
      <c r="J13" s="51">
        <f>ROUNDUP(E13*0.75,2)</f>
        <v>7.5</v>
      </c>
      <c r="K13" s="51" t="s">
        <v>16</v>
      </c>
      <c r="L13" s="51"/>
      <c r="M13" s="77" t="e">
        <f>ROUND(#REF!+(#REF!*2/100),2)</f>
        <v>#REF!</v>
      </c>
      <c r="N13" s="65" t="s">
        <v>194</v>
      </c>
      <c r="O13" s="52" t="s">
        <v>19</v>
      </c>
      <c r="P13" s="49"/>
      <c r="Q13" s="53">
        <v>0.1</v>
      </c>
      <c r="R13" s="85">
        <f>ROUNDUP(Q13*0.75,2)</f>
        <v>0.08</v>
      </c>
    </row>
    <row r="14" spans="1:19" ht="27.95" customHeight="1">
      <c r="A14" s="212"/>
      <c r="B14" s="65"/>
      <c r="C14" s="48" t="s">
        <v>88</v>
      </c>
      <c r="D14" s="49"/>
      <c r="E14" s="50">
        <v>10</v>
      </c>
      <c r="F14" s="51" t="s">
        <v>16</v>
      </c>
      <c r="G14" s="69"/>
      <c r="H14" s="73" t="s">
        <v>88</v>
      </c>
      <c r="I14" s="49"/>
      <c r="J14" s="51">
        <f>ROUNDUP(E14*0.75,2)</f>
        <v>7.5</v>
      </c>
      <c r="K14" s="51" t="s">
        <v>16</v>
      </c>
      <c r="L14" s="51"/>
      <c r="M14" s="77" t="e">
        <f>#REF!</f>
        <v>#REF!</v>
      </c>
      <c r="N14" s="65" t="s">
        <v>47</v>
      </c>
      <c r="O14" s="52" t="s">
        <v>148</v>
      </c>
      <c r="P14" s="49" t="s">
        <v>149</v>
      </c>
      <c r="Q14" s="53">
        <v>4</v>
      </c>
      <c r="R14" s="85">
        <f>ROUNDUP(Q14*0.75,2)</f>
        <v>3</v>
      </c>
    </row>
    <row r="15" spans="1:19" ht="27.95" customHeight="1">
      <c r="A15" s="212"/>
      <c r="B15" s="65"/>
      <c r="C15" s="48" t="s">
        <v>51</v>
      </c>
      <c r="D15" s="49"/>
      <c r="E15" s="50">
        <v>2</v>
      </c>
      <c r="F15" s="51" t="s">
        <v>16</v>
      </c>
      <c r="G15" s="69"/>
      <c r="H15" s="73" t="s">
        <v>51</v>
      </c>
      <c r="I15" s="49"/>
      <c r="J15" s="51">
        <f>ROUNDUP(E15*0.75,2)</f>
        <v>1.5</v>
      </c>
      <c r="K15" s="51" t="s">
        <v>16</v>
      </c>
      <c r="L15" s="51"/>
      <c r="M15" s="77" t="e">
        <f>#REF!</f>
        <v>#REF!</v>
      </c>
      <c r="N15" s="65"/>
      <c r="O15" s="52"/>
      <c r="P15" s="49"/>
      <c r="Q15" s="53"/>
      <c r="R15" s="85"/>
    </row>
    <row r="16" spans="1:19" ht="27.95" customHeight="1">
      <c r="A16" s="212"/>
      <c r="B16" s="64"/>
      <c r="C16" s="42"/>
      <c r="D16" s="43"/>
      <c r="E16" s="44"/>
      <c r="F16" s="45"/>
      <c r="G16" s="68"/>
      <c r="H16" s="72"/>
      <c r="I16" s="43"/>
      <c r="J16" s="45"/>
      <c r="K16" s="45"/>
      <c r="L16" s="45"/>
      <c r="M16" s="76"/>
      <c r="N16" s="64"/>
      <c r="O16" s="46"/>
      <c r="P16" s="43"/>
      <c r="Q16" s="47"/>
      <c r="R16" s="84"/>
    </row>
    <row r="17" spans="1:18" ht="27.95" customHeight="1">
      <c r="A17" s="212"/>
      <c r="B17" s="65" t="s">
        <v>129</v>
      </c>
      <c r="C17" s="48" t="s">
        <v>133</v>
      </c>
      <c r="D17" s="49" t="s">
        <v>40</v>
      </c>
      <c r="E17" s="50">
        <v>40</v>
      </c>
      <c r="F17" s="51" t="s">
        <v>16</v>
      </c>
      <c r="G17" s="69"/>
      <c r="H17" s="73" t="s">
        <v>133</v>
      </c>
      <c r="I17" s="49" t="s">
        <v>40</v>
      </c>
      <c r="J17" s="51">
        <f>ROUNDUP(E17*0.75,2)</f>
        <v>30</v>
      </c>
      <c r="K17" s="51" t="s">
        <v>16</v>
      </c>
      <c r="L17" s="51"/>
      <c r="M17" s="77" t="e">
        <f>#REF!</f>
        <v>#REF!</v>
      </c>
      <c r="N17" s="65" t="s">
        <v>130</v>
      </c>
      <c r="O17" s="52" t="s">
        <v>32</v>
      </c>
      <c r="P17" s="49"/>
      <c r="Q17" s="53">
        <v>1</v>
      </c>
      <c r="R17" s="85">
        <f>ROUNDUP(Q17*0.75,2)</f>
        <v>0.75</v>
      </c>
    </row>
    <row r="18" spans="1:18" ht="27.95" customHeight="1">
      <c r="A18" s="212"/>
      <c r="B18" s="65"/>
      <c r="C18" s="48"/>
      <c r="D18" s="49"/>
      <c r="E18" s="50"/>
      <c r="F18" s="51"/>
      <c r="G18" s="69"/>
      <c r="H18" s="73"/>
      <c r="I18" s="49"/>
      <c r="J18" s="51"/>
      <c r="K18" s="51"/>
      <c r="L18" s="51"/>
      <c r="M18" s="77"/>
      <c r="N18" s="65" t="s">
        <v>131</v>
      </c>
      <c r="O18" s="52" t="s">
        <v>46</v>
      </c>
      <c r="P18" s="49"/>
      <c r="Q18" s="53">
        <v>3</v>
      </c>
      <c r="R18" s="85">
        <f>ROUNDUP(Q18*0.75,2)</f>
        <v>2.25</v>
      </c>
    </row>
    <row r="19" spans="1:18" ht="27.95" customHeight="1">
      <c r="A19" s="212"/>
      <c r="B19" s="65"/>
      <c r="C19" s="48"/>
      <c r="D19" s="49"/>
      <c r="E19" s="50"/>
      <c r="F19" s="51"/>
      <c r="G19" s="69"/>
      <c r="H19" s="73"/>
      <c r="I19" s="49"/>
      <c r="J19" s="51"/>
      <c r="K19" s="51"/>
      <c r="L19" s="51"/>
      <c r="M19" s="77"/>
      <c r="N19" s="65" t="s">
        <v>132</v>
      </c>
      <c r="O19" s="52"/>
      <c r="P19" s="49"/>
      <c r="Q19" s="53"/>
      <c r="R19" s="85"/>
    </row>
    <row r="20" spans="1:18" ht="27.95" customHeight="1">
      <c r="A20" s="212"/>
      <c r="B20" s="65"/>
      <c r="C20" s="48"/>
      <c r="D20" s="49"/>
      <c r="E20" s="50"/>
      <c r="F20" s="51"/>
      <c r="G20" s="69"/>
      <c r="H20" s="73"/>
      <c r="I20" s="49"/>
      <c r="J20" s="51"/>
      <c r="K20" s="51"/>
      <c r="L20" s="51"/>
      <c r="M20" s="77"/>
      <c r="N20" s="65" t="s">
        <v>14</v>
      </c>
      <c r="O20" s="52"/>
      <c r="P20" s="49"/>
      <c r="Q20" s="53"/>
      <c r="R20" s="85"/>
    </row>
    <row r="21" spans="1:18" ht="27.95" customHeight="1" thickBot="1">
      <c r="A21" s="213"/>
      <c r="B21" s="66"/>
      <c r="C21" s="55"/>
      <c r="D21" s="56"/>
      <c r="E21" s="57"/>
      <c r="F21" s="58"/>
      <c r="G21" s="70"/>
      <c r="H21" s="74"/>
      <c r="I21" s="56"/>
      <c r="J21" s="58"/>
      <c r="K21" s="58"/>
      <c r="L21" s="58"/>
      <c r="M21" s="78"/>
      <c r="N21" s="66"/>
      <c r="O21" s="59"/>
      <c r="P21" s="56"/>
      <c r="Q21" s="60"/>
      <c r="R21" s="87"/>
    </row>
  </sheetData>
  <mergeCells count="4">
    <mergeCell ref="H1:N1"/>
    <mergeCell ref="A2:R2"/>
    <mergeCell ref="A3:F3"/>
    <mergeCell ref="A5:A21"/>
  </mergeCells>
  <phoneticPr fontId="16"/>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229</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196</v>
      </c>
      <c r="C7" s="48" t="s">
        <v>21</v>
      </c>
      <c r="D7" s="49" t="s">
        <v>22</v>
      </c>
      <c r="E7" s="50">
        <v>1</v>
      </c>
      <c r="F7" s="51" t="s">
        <v>23</v>
      </c>
      <c r="G7" s="69"/>
      <c r="H7" s="73" t="s">
        <v>21</v>
      </c>
      <c r="I7" s="49" t="s">
        <v>22</v>
      </c>
      <c r="J7" s="51">
        <f>ROUNDUP(E7*0.75,2)</f>
        <v>0.75</v>
      </c>
      <c r="K7" s="51" t="s">
        <v>23</v>
      </c>
      <c r="L7" s="51"/>
      <c r="M7" s="77" t="e">
        <f>#REF!</f>
        <v>#REF!</v>
      </c>
      <c r="N7" s="65" t="s">
        <v>197</v>
      </c>
      <c r="O7" s="52" t="s">
        <v>19</v>
      </c>
      <c r="P7" s="49"/>
      <c r="Q7" s="53">
        <v>0.1</v>
      </c>
      <c r="R7" s="85">
        <f t="shared" ref="R7:R14" si="0">ROUNDUP(Q7*0.75,2)</f>
        <v>0.08</v>
      </c>
    </row>
    <row r="8" spans="1:19" ht="27.95" customHeight="1">
      <c r="A8" s="212"/>
      <c r="B8" s="65"/>
      <c r="C8" s="48" t="s">
        <v>84</v>
      </c>
      <c r="D8" s="49"/>
      <c r="E8" s="50">
        <v>20</v>
      </c>
      <c r="F8" s="51" t="s">
        <v>16</v>
      </c>
      <c r="G8" s="69"/>
      <c r="H8" s="73" t="s">
        <v>84</v>
      </c>
      <c r="I8" s="49"/>
      <c r="J8" s="51">
        <f>ROUNDUP(E8*0.75,2)</f>
        <v>15</v>
      </c>
      <c r="K8" s="51" t="s">
        <v>16</v>
      </c>
      <c r="L8" s="51"/>
      <c r="M8" s="77" t="e">
        <f>#REF!</f>
        <v>#REF!</v>
      </c>
      <c r="N8" s="65" t="s">
        <v>198</v>
      </c>
      <c r="O8" s="52" t="s">
        <v>20</v>
      </c>
      <c r="P8" s="49"/>
      <c r="Q8" s="53">
        <v>0.01</v>
      </c>
      <c r="R8" s="85">
        <f t="shared" si="0"/>
        <v>0.01</v>
      </c>
    </row>
    <row r="9" spans="1:19" ht="27.95" customHeight="1">
      <c r="A9" s="212"/>
      <c r="B9" s="65"/>
      <c r="C9" s="48" t="s">
        <v>15</v>
      </c>
      <c r="D9" s="49"/>
      <c r="E9" s="50">
        <v>20</v>
      </c>
      <c r="F9" s="51" t="s">
        <v>16</v>
      </c>
      <c r="G9" s="69"/>
      <c r="H9" s="73" t="s">
        <v>15</v>
      </c>
      <c r="I9" s="49"/>
      <c r="J9" s="51">
        <f>ROUNDUP(E9*0.75,2)</f>
        <v>15</v>
      </c>
      <c r="K9" s="51" t="s">
        <v>16</v>
      </c>
      <c r="L9" s="51"/>
      <c r="M9" s="77" t="e">
        <f>ROUND(#REF!+(#REF!*6/100),2)</f>
        <v>#REF!</v>
      </c>
      <c r="N9" s="65" t="s">
        <v>199</v>
      </c>
      <c r="O9" s="52" t="s">
        <v>18</v>
      </c>
      <c r="P9" s="49"/>
      <c r="Q9" s="53">
        <v>2</v>
      </c>
      <c r="R9" s="85">
        <f t="shared" si="0"/>
        <v>1.5</v>
      </c>
    </row>
    <row r="10" spans="1:19" ht="27.95" customHeight="1">
      <c r="A10" s="212"/>
      <c r="B10" s="65"/>
      <c r="C10" s="48" t="s">
        <v>37</v>
      </c>
      <c r="D10" s="49"/>
      <c r="E10" s="50">
        <v>2</v>
      </c>
      <c r="F10" s="51" t="s">
        <v>16</v>
      </c>
      <c r="G10" s="69"/>
      <c r="H10" s="73" t="s">
        <v>37</v>
      </c>
      <c r="I10" s="49"/>
      <c r="J10" s="51">
        <f>ROUNDUP(E10*0.75,2)</f>
        <v>1.5</v>
      </c>
      <c r="K10" s="51" t="s">
        <v>16</v>
      </c>
      <c r="L10" s="51"/>
      <c r="M10" s="77" t="e">
        <f>ROUND(#REF!+(#REF!*10/100),2)</f>
        <v>#REF!</v>
      </c>
      <c r="N10" s="65" t="s">
        <v>252</v>
      </c>
      <c r="O10" s="52" t="s">
        <v>46</v>
      </c>
      <c r="P10" s="49"/>
      <c r="Q10" s="53">
        <v>15</v>
      </c>
      <c r="R10" s="85">
        <f t="shared" si="0"/>
        <v>11.25</v>
      </c>
    </row>
    <row r="11" spans="1:19" ht="27.95" customHeight="1">
      <c r="A11" s="212"/>
      <c r="B11" s="65"/>
      <c r="C11" s="48"/>
      <c r="D11" s="49"/>
      <c r="E11" s="50"/>
      <c r="F11" s="51"/>
      <c r="G11" s="69"/>
      <c r="H11" s="73"/>
      <c r="I11" s="49"/>
      <c r="J11" s="51"/>
      <c r="K11" s="51"/>
      <c r="L11" s="51"/>
      <c r="M11" s="77"/>
      <c r="N11" s="86" t="s">
        <v>253</v>
      </c>
      <c r="O11" s="52" t="s">
        <v>32</v>
      </c>
      <c r="P11" s="49"/>
      <c r="Q11" s="53">
        <v>1</v>
      </c>
      <c r="R11" s="85">
        <f t="shared" si="0"/>
        <v>0.75</v>
      </c>
    </row>
    <row r="12" spans="1:19" ht="27.95" customHeight="1">
      <c r="A12" s="212"/>
      <c r="B12" s="65"/>
      <c r="C12" s="48"/>
      <c r="D12" s="49"/>
      <c r="E12" s="50"/>
      <c r="F12" s="51"/>
      <c r="G12" s="69"/>
      <c r="H12" s="73"/>
      <c r="I12" s="49"/>
      <c r="J12" s="51"/>
      <c r="K12" s="51"/>
      <c r="L12" s="51"/>
      <c r="M12" s="77"/>
      <c r="N12" s="65" t="s">
        <v>200</v>
      </c>
      <c r="O12" s="52" t="s">
        <v>75</v>
      </c>
      <c r="P12" s="49"/>
      <c r="Q12" s="53">
        <v>1.5</v>
      </c>
      <c r="R12" s="85">
        <f t="shared" si="0"/>
        <v>1.1300000000000001</v>
      </c>
    </row>
    <row r="13" spans="1:19" ht="27.95" customHeight="1">
      <c r="A13" s="212"/>
      <c r="B13" s="65"/>
      <c r="C13" s="48"/>
      <c r="D13" s="49"/>
      <c r="E13" s="50"/>
      <c r="F13" s="51"/>
      <c r="G13" s="69"/>
      <c r="H13" s="73"/>
      <c r="I13" s="49"/>
      <c r="J13" s="51"/>
      <c r="K13" s="51"/>
      <c r="L13" s="51"/>
      <c r="M13" s="77"/>
      <c r="N13" s="65" t="s">
        <v>14</v>
      </c>
      <c r="O13" s="52" t="s">
        <v>33</v>
      </c>
      <c r="P13" s="49" t="s">
        <v>34</v>
      </c>
      <c r="Q13" s="53">
        <v>1.5</v>
      </c>
      <c r="R13" s="85">
        <f t="shared" si="0"/>
        <v>1.1300000000000001</v>
      </c>
    </row>
    <row r="14" spans="1:19" ht="27.95" customHeight="1">
      <c r="A14" s="212"/>
      <c r="B14" s="65"/>
      <c r="C14" s="48"/>
      <c r="D14" s="49"/>
      <c r="E14" s="50"/>
      <c r="F14" s="51"/>
      <c r="G14" s="69"/>
      <c r="H14" s="73"/>
      <c r="I14" s="49"/>
      <c r="J14" s="51"/>
      <c r="K14" s="51"/>
      <c r="L14" s="51"/>
      <c r="M14" s="77"/>
      <c r="N14" s="65"/>
      <c r="O14" s="52" t="s">
        <v>45</v>
      </c>
      <c r="P14" s="49"/>
      <c r="Q14" s="53">
        <v>1</v>
      </c>
      <c r="R14" s="85">
        <f t="shared" si="0"/>
        <v>0.75</v>
      </c>
    </row>
    <row r="15" spans="1:19" ht="27.95" customHeight="1">
      <c r="A15" s="212"/>
      <c r="B15" s="64"/>
      <c r="C15" s="42"/>
      <c r="D15" s="43"/>
      <c r="E15" s="44"/>
      <c r="F15" s="45"/>
      <c r="G15" s="68"/>
      <c r="H15" s="72"/>
      <c r="I15" s="43"/>
      <c r="J15" s="45"/>
      <c r="K15" s="45"/>
      <c r="L15" s="45"/>
      <c r="M15" s="76"/>
      <c r="N15" s="64"/>
      <c r="O15" s="46"/>
      <c r="P15" s="43"/>
      <c r="Q15" s="47"/>
      <c r="R15" s="84"/>
    </row>
    <row r="16" spans="1:19" ht="27.95" customHeight="1">
      <c r="A16" s="212"/>
      <c r="B16" s="65" t="s">
        <v>201</v>
      </c>
      <c r="C16" s="48" t="s">
        <v>36</v>
      </c>
      <c r="D16" s="49"/>
      <c r="E16" s="50">
        <v>30</v>
      </c>
      <c r="F16" s="51" t="s">
        <v>16</v>
      </c>
      <c r="G16" s="69"/>
      <c r="H16" s="73" t="s">
        <v>36</v>
      </c>
      <c r="I16" s="49"/>
      <c r="J16" s="51">
        <f>ROUNDUP(E16*0.75,2)</f>
        <v>22.5</v>
      </c>
      <c r="K16" s="51" t="s">
        <v>16</v>
      </c>
      <c r="L16" s="51"/>
      <c r="M16" s="77" t="e">
        <f>ROUND(#REF!+(#REF!*15/100),2)</f>
        <v>#REF!</v>
      </c>
      <c r="N16" s="65" t="s">
        <v>202</v>
      </c>
      <c r="O16" s="52" t="s">
        <v>32</v>
      </c>
      <c r="P16" s="49"/>
      <c r="Q16" s="53">
        <v>0.5</v>
      </c>
      <c r="R16" s="85">
        <f>ROUNDUP(Q16*0.75,2)</f>
        <v>0.38</v>
      </c>
    </row>
    <row r="17" spans="1:18" ht="27.95" customHeight="1">
      <c r="A17" s="212"/>
      <c r="B17" s="65"/>
      <c r="C17" s="48" t="s">
        <v>29</v>
      </c>
      <c r="D17" s="49"/>
      <c r="E17" s="50">
        <v>10</v>
      </c>
      <c r="F17" s="51" t="s">
        <v>16</v>
      </c>
      <c r="G17" s="69"/>
      <c r="H17" s="73" t="s">
        <v>29</v>
      </c>
      <c r="I17" s="49"/>
      <c r="J17" s="51">
        <f>ROUNDUP(E17*0.75,2)</f>
        <v>7.5</v>
      </c>
      <c r="K17" s="51" t="s">
        <v>16</v>
      </c>
      <c r="L17" s="51"/>
      <c r="M17" s="77" t="e">
        <f>ROUND(#REF!+(#REF!*10/100),2)</f>
        <v>#REF!</v>
      </c>
      <c r="N17" s="65" t="s">
        <v>176</v>
      </c>
      <c r="O17" s="52" t="s">
        <v>19</v>
      </c>
      <c r="P17" s="49"/>
      <c r="Q17" s="53">
        <v>0.1</v>
      </c>
      <c r="R17" s="85">
        <f>ROUNDUP(Q17*0.75,2)</f>
        <v>0.08</v>
      </c>
    </row>
    <row r="18" spans="1:18" ht="27.95" customHeight="1">
      <c r="A18" s="212"/>
      <c r="B18" s="65"/>
      <c r="C18" s="48" t="s">
        <v>50</v>
      </c>
      <c r="D18" s="49"/>
      <c r="E18" s="50">
        <v>5</v>
      </c>
      <c r="F18" s="51" t="s">
        <v>16</v>
      </c>
      <c r="G18" s="69"/>
      <c r="H18" s="73" t="s">
        <v>50</v>
      </c>
      <c r="I18" s="49"/>
      <c r="J18" s="51">
        <f>ROUNDUP(E18*0.75,2)</f>
        <v>3.75</v>
      </c>
      <c r="K18" s="51" t="s">
        <v>16</v>
      </c>
      <c r="L18" s="51"/>
      <c r="M18" s="77" t="e">
        <f>ROUND(#REF!+(#REF!*15/100),2)</f>
        <v>#REF!</v>
      </c>
      <c r="N18" s="65" t="s">
        <v>14</v>
      </c>
      <c r="O18" s="52" t="s">
        <v>30</v>
      </c>
      <c r="P18" s="49"/>
      <c r="Q18" s="53">
        <v>2</v>
      </c>
      <c r="R18" s="85">
        <f>ROUNDUP(Q18*0.75,2)</f>
        <v>1.5</v>
      </c>
    </row>
    <row r="19" spans="1:18" ht="27.95" customHeight="1">
      <c r="A19" s="212"/>
      <c r="B19" s="64"/>
      <c r="C19" s="42"/>
      <c r="D19" s="43"/>
      <c r="E19" s="44"/>
      <c r="F19" s="45"/>
      <c r="G19" s="68"/>
      <c r="H19" s="72"/>
      <c r="I19" s="43"/>
      <c r="J19" s="45"/>
      <c r="K19" s="45"/>
      <c r="L19" s="45"/>
      <c r="M19" s="76"/>
      <c r="N19" s="64"/>
      <c r="O19" s="46"/>
      <c r="P19" s="43"/>
      <c r="Q19" s="47"/>
      <c r="R19" s="84"/>
    </row>
    <row r="20" spans="1:18" ht="27.95" customHeight="1">
      <c r="A20" s="212"/>
      <c r="B20" s="65" t="s">
        <v>55</v>
      </c>
      <c r="C20" s="48" t="s">
        <v>89</v>
      </c>
      <c r="D20" s="49"/>
      <c r="E20" s="50">
        <v>5</v>
      </c>
      <c r="F20" s="51" t="s">
        <v>16</v>
      </c>
      <c r="G20" s="69"/>
      <c r="H20" s="73" t="s">
        <v>89</v>
      </c>
      <c r="I20" s="49"/>
      <c r="J20" s="51">
        <f>ROUNDUP(E20*0.75,2)</f>
        <v>3.75</v>
      </c>
      <c r="K20" s="51" t="s">
        <v>16</v>
      </c>
      <c r="L20" s="51"/>
      <c r="M20" s="77" t="e">
        <f>ROUND(#REF!+(#REF!*10/100),2)</f>
        <v>#REF!</v>
      </c>
      <c r="N20" s="65" t="s">
        <v>14</v>
      </c>
      <c r="O20" s="52" t="s">
        <v>31</v>
      </c>
      <c r="P20" s="49"/>
      <c r="Q20" s="53">
        <v>100</v>
      </c>
      <c r="R20" s="85">
        <f>ROUNDUP(Q20*0.75,2)</f>
        <v>75</v>
      </c>
    </row>
    <row r="21" spans="1:18" ht="27.95" customHeight="1">
      <c r="A21" s="212"/>
      <c r="B21" s="65"/>
      <c r="C21" s="48" t="s">
        <v>146</v>
      </c>
      <c r="D21" s="49"/>
      <c r="E21" s="50">
        <v>3</v>
      </c>
      <c r="F21" s="51" t="s">
        <v>16</v>
      </c>
      <c r="G21" s="69"/>
      <c r="H21" s="73" t="s">
        <v>146</v>
      </c>
      <c r="I21" s="49"/>
      <c r="J21" s="51">
        <f>ROUNDUP(E21*0.75,2)</f>
        <v>2.25</v>
      </c>
      <c r="K21" s="51" t="s">
        <v>16</v>
      </c>
      <c r="L21" s="51"/>
      <c r="M21" s="77" t="e">
        <f>#REF!</f>
        <v>#REF!</v>
      </c>
      <c r="N21" s="65"/>
      <c r="O21" s="52" t="s">
        <v>57</v>
      </c>
      <c r="P21" s="49"/>
      <c r="Q21" s="53">
        <v>3</v>
      </c>
      <c r="R21" s="85">
        <f>ROUNDUP(Q21*0.75,2)</f>
        <v>2.25</v>
      </c>
    </row>
    <row r="22" spans="1:18" ht="27.95" customHeight="1">
      <c r="A22" s="212"/>
      <c r="B22" s="64"/>
      <c r="C22" s="42"/>
      <c r="D22" s="43"/>
      <c r="E22" s="44"/>
      <c r="F22" s="45"/>
      <c r="G22" s="68"/>
      <c r="H22" s="72"/>
      <c r="I22" s="43"/>
      <c r="J22" s="45"/>
      <c r="K22" s="45"/>
      <c r="L22" s="45"/>
      <c r="M22" s="76"/>
      <c r="N22" s="64"/>
      <c r="O22" s="46"/>
      <c r="P22" s="43"/>
      <c r="Q22" s="47"/>
      <c r="R22" s="84"/>
    </row>
    <row r="23" spans="1:18" ht="27.95" customHeight="1">
      <c r="A23" s="212"/>
      <c r="B23" s="65" t="s">
        <v>108</v>
      </c>
      <c r="C23" s="48" t="s">
        <v>109</v>
      </c>
      <c r="D23" s="49"/>
      <c r="E23" s="79">
        <v>0.125</v>
      </c>
      <c r="F23" s="51" t="s">
        <v>23</v>
      </c>
      <c r="G23" s="69"/>
      <c r="H23" s="73" t="s">
        <v>109</v>
      </c>
      <c r="I23" s="49"/>
      <c r="J23" s="51">
        <f>ROUNDUP(E23*0.75,2)</f>
        <v>9.9999999999999992E-2</v>
      </c>
      <c r="K23" s="51" t="s">
        <v>23</v>
      </c>
      <c r="L23" s="51"/>
      <c r="M23" s="77" t="e">
        <f>#REF!</f>
        <v>#REF!</v>
      </c>
      <c r="N23" s="65" t="s">
        <v>59</v>
      </c>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61</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271</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62</v>
      </c>
      <c r="C5" s="36" t="s">
        <v>65</v>
      </c>
      <c r="D5" s="37" t="s">
        <v>34</v>
      </c>
      <c r="E5" s="38">
        <v>40</v>
      </c>
      <c r="F5" s="39" t="s">
        <v>16</v>
      </c>
      <c r="G5" s="67"/>
      <c r="H5" s="71" t="s">
        <v>65</v>
      </c>
      <c r="I5" s="37" t="s">
        <v>34</v>
      </c>
      <c r="J5" s="39">
        <f>ROUNDUP(E5*0.75,2)</f>
        <v>30</v>
      </c>
      <c r="K5" s="39" t="s">
        <v>16</v>
      </c>
      <c r="L5" s="39"/>
      <c r="M5" s="75" t="e">
        <f>#REF!</f>
        <v>#REF!</v>
      </c>
      <c r="N5" s="63" t="s">
        <v>63</v>
      </c>
      <c r="O5" s="40" t="s">
        <v>66</v>
      </c>
      <c r="P5" s="37" t="s">
        <v>40</v>
      </c>
      <c r="Q5" s="41">
        <v>2</v>
      </c>
      <c r="R5" s="83">
        <f t="shared" ref="R5:R10" si="0">ROUNDUP(Q5*0.75,2)</f>
        <v>1.5</v>
      </c>
    </row>
    <row r="6" spans="1:19" ht="27.95" customHeight="1">
      <c r="A6" s="212"/>
      <c r="B6" s="65"/>
      <c r="C6" s="48" t="s">
        <v>67</v>
      </c>
      <c r="D6" s="49"/>
      <c r="E6" s="50">
        <v>20</v>
      </c>
      <c r="F6" s="51" t="s">
        <v>16</v>
      </c>
      <c r="G6" s="69"/>
      <c r="H6" s="73" t="s">
        <v>67</v>
      </c>
      <c r="I6" s="49"/>
      <c r="J6" s="51">
        <f>ROUNDUP(E6*0.75,2)</f>
        <v>15</v>
      </c>
      <c r="K6" s="51" t="s">
        <v>16</v>
      </c>
      <c r="L6" s="51"/>
      <c r="M6" s="77" t="e">
        <f>#REF!</f>
        <v>#REF!</v>
      </c>
      <c r="N6" s="65" t="s">
        <v>64</v>
      </c>
      <c r="O6" s="52" t="s">
        <v>49</v>
      </c>
      <c r="P6" s="49"/>
      <c r="Q6" s="53">
        <v>0.5</v>
      </c>
      <c r="R6" s="85">
        <f t="shared" si="0"/>
        <v>0.38</v>
      </c>
    </row>
    <row r="7" spans="1:19" ht="27.95" customHeight="1">
      <c r="A7" s="212"/>
      <c r="B7" s="65"/>
      <c r="C7" s="48" t="s">
        <v>15</v>
      </c>
      <c r="D7" s="49"/>
      <c r="E7" s="50">
        <v>30</v>
      </c>
      <c r="F7" s="51" t="s">
        <v>16</v>
      </c>
      <c r="G7" s="69"/>
      <c r="H7" s="73" t="s">
        <v>15</v>
      </c>
      <c r="I7" s="49"/>
      <c r="J7" s="51">
        <f>ROUNDUP(E7*0.75,2)</f>
        <v>22.5</v>
      </c>
      <c r="K7" s="51" t="s">
        <v>16</v>
      </c>
      <c r="L7" s="51"/>
      <c r="M7" s="77" t="e">
        <f>ROUND(#REF!+(#REF!*6/100),2)</f>
        <v>#REF!</v>
      </c>
      <c r="N7" s="65" t="s">
        <v>237</v>
      </c>
      <c r="O7" s="52" t="s">
        <v>18</v>
      </c>
      <c r="P7" s="49"/>
      <c r="Q7" s="53">
        <v>2</v>
      </c>
      <c r="R7" s="85">
        <f t="shared" si="0"/>
        <v>1.5</v>
      </c>
    </row>
    <row r="8" spans="1:19" ht="27.95" customHeight="1">
      <c r="A8" s="212"/>
      <c r="B8" s="65"/>
      <c r="C8" s="48" t="s">
        <v>68</v>
      </c>
      <c r="D8" s="49"/>
      <c r="E8" s="50">
        <v>5</v>
      </c>
      <c r="F8" s="51" t="s">
        <v>16</v>
      </c>
      <c r="G8" s="69"/>
      <c r="H8" s="73" t="s">
        <v>68</v>
      </c>
      <c r="I8" s="49"/>
      <c r="J8" s="51">
        <f>ROUNDUP(E8*0.75,2)</f>
        <v>3.75</v>
      </c>
      <c r="K8" s="51" t="s">
        <v>16</v>
      </c>
      <c r="L8" s="51"/>
      <c r="M8" s="77" t="e">
        <f>#REF!</f>
        <v>#REF!</v>
      </c>
      <c r="N8" s="65" t="s">
        <v>266</v>
      </c>
      <c r="O8" s="52" t="s">
        <v>24</v>
      </c>
      <c r="P8" s="49"/>
      <c r="Q8" s="53">
        <v>10</v>
      </c>
      <c r="R8" s="85">
        <f t="shared" si="0"/>
        <v>7.5</v>
      </c>
    </row>
    <row r="9" spans="1:19" ht="27.95" customHeight="1">
      <c r="A9" s="212"/>
      <c r="B9" s="65"/>
      <c r="C9" s="48"/>
      <c r="D9" s="49"/>
      <c r="E9" s="50"/>
      <c r="F9" s="51"/>
      <c r="G9" s="69"/>
      <c r="H9" s="73"/>
      <c r="I9" s="49"/>
      <c r="J9" s="51"/>
      <c r="K9" s="51"/>
      <c r="L9" s="51"/>
      <c r="M9" s="77"/>
      <c r="N9" s="65" t="s">
        <v>14</v>
      </c>
      <c r="O9" s="52" t="s">
        <v>54</v>
      </c>
      <c r="P9" s="49"/>
      <c r="Q9" s="53">
        <v>2</v>
      </c>
      <c r="R9" s="85">
        <f t="shared" si="0"/>
        <v>1.5</v>
      </c>
    </row>
    <row r="10" spans="1:19" ht="27.95" customHeight="1">
      <c r="A10" s="212"/>
      <c r="B10" s="65"/>
      <c r="C10" s="48"/>
      <c r="D10" s="49"/>
      <c r="E10" s="50"/>
      <c r="F10" s="51"/>
      <c r="G10" s="69"/>
      <c r="H10" s="73"/>
      <c r="I10" s="49"/>
      <c r="J10" s="51"/>
      <c r="K10" s="51"/>
      <c r="L10" s="51"/>
      <c r="M10" s="77"/>
      <c r="N10" s="65"/>
      <c r="O10" s="52" t="s">
        <v>32</v>
      </c>
      <c r="P10" s="49"/>
      <c r="Q10" s="53">
        <v>0.5</v>
      </c>
      <c r="R10" s="85">
        <f t="shared" si="0"/>
        <v>0.38</v>
      </c>
    </row>
    <row r="11" spans="1:19" ht="27.95" customHeight="1">
      <c r="A11" s="212"/>
      <c r="B11" s="64"/>
      <c r="C11" s="42"/>
      <c r="D11" s="43"/>
      <c r="E11" s="44"/>
      <c r="F11" s="45"/>
      <c r="G11" s="68"/>
      <c r="H11" s="72"/>
      <c r="I11" s="43"/>
      <c r="J11" s="45"/>
      <c r="K11" s="45"/>
      <c r="L11" s="45"/>
      <c r="M11" s="76"/>
      <c r="N11" s="64"/>
      <c r="O11" s="46"/>
      <c r="P11" s="43"/>
      <c r="Q11" s="47"/>
      <c r="R11" s="84"/>
    </row>
    <row r="12" spans="1:19" ht="27.95" customHeight="1">
      <c r="A12" s="212"/>
      <c r="B12" s="65" t="s">
        <v>69</v>
      </c>
      <c r="C12" s="48" t="s">
        <v>71</v>
      </c>
      <c r="D12" s="49"/>
      <c r="E12" s="62">
        <v>0.16666666666666666</v>
      </c>
      <c r="F12" s="51" t="s">
        <v>72</v>
      </c>
      <c r="G12" s="69"/>
      <c r="H12" s="73" t="s">
        <v>71</v>
      </c>
      <c r="I12" s="49"/>
      <c r="J12" s="51">
        <f>ROUNDUP(E12*0.75,2)</f>
        <v>0.13</v>
      </c>
      <c r="K12" s="51" t="s">
        <v>72</v>
      </c>
      <c r="L12" s="51"/>
      <c r="M12" s="77" t="e">
        <f>#REF!</f>
        <v>#REF!</v>
      </c>
      <c r="N12" s="65" t="s">
        <v>238</v>
      </c>
      <c r="O12" s="52" t="s">
        <v>32</v>
      </c>
      <c r="P12" s="49"/>
      <c r="Q12" s="53">
        <v>1</v>
      </c>
      <c r="R12" s="85">
        <f>ROUNDUP(Q12*0.75,2)</f>
        <v>0.75</v>
      </c>
    </row>
    <row r="13" spans="1:19" ht="27.95" customHeight="1">
      <c r="A13" s="212"/>
      <c r="B13" s="65"/>
      <c r="C13" s="48" t="s">
        <v>21</v>
      </c>
      <c r="D13" s="49" t="s">
        <v>22</v>
      </c>
      <c r="E13" s="61">
        <v>0.25</v>
      </c>
      <c r="F13" s="51" t="s">
        <v>23</v>
      </c>
      <c r="G13" s="69"/>
      <c r="H13" s="73" t="s">
        <v>21</v>
      </c>
      <c r="I13" s="49" t="s">
        <v>22</v>
      </c>
      <c r="J13" s="51">
        <f>ROUNDUP(E13*0.75,2)</f>
        <v>0.19</v>
      </c>
      <c r="K13" s="51" t="s">
        <v>23</v>
      </c>
      <c r="L13" s="51"/>
      <c r="M13" s="77" t="e">
        <f>#REF!</f>
        <v>#REF!</v>
      </c>
      <c r="N13" s="65" t="s">
        <v>239</v>
      </c>
      <c r="O13" s="52" t="s">
        <v>19</v>
      </c>
      <c r="P13" s="49"/>
      <c r="Q13" s="53">
        <v>0.1</v>
      </c>
      <c r="R13" s="85">
        <f>ROUNDUP(Q13*0.75,2)</f>
        <v>0.08</v>
      </c>
    </row>
    <row r="14" spans="1:19" ht="27.95" customHeight="1">
      <c r="A14" s="212"/>
      <c r="B14" s="65"/>
      <c r="C14" s="48" t="s">
        <v>73</v>
      </c>
      <c r="D14" s="49"/>
      <c r="E14" s="50">
        <v>10</v>
      </c>
      <c r="F14" s="51" t="s">
        <v>16</v>
      </c>
      <c r="G14" s="69"/>
      <c r="H14" s="73" t="s">
        <v>73</v>
      </c>
      <c r="I14" s="49"/>
      <c r="J14" s="51">
        <f>ROUNDUP(E14*0.75,2)</f>
        <v>7.5</v>
      </c>
      <c r="K14" s="51" t="s">
        <v>16</v>
      </c>
      <c r="L14" s="51"/>
      <c r="M14" s="77" t="e">
        <f>ROUND(#REF!+(#REF!*2/100),2)</f>
        <v>#REF!</v>
      </c>
      <c r="N14" s="65" t="s">
        <v>70</v>
      </c>
      <c r="O14" s="52" t="s">
        <v>33</v>
      </c>
      <c r="P14" s="49" t="s">
        <v>34</v>
      </c>
      <c r="Q14" s="53">
        <v>0.5</v>
      </c>
      <c r="R14" s="85">
        <f>ROUNDUP(Q14*0.75,2)</f>
        <v>0.38</v>
      </c>
    </row>
    <row r="15" spans="1:19" ht="27.95" customHeight="1">
      <c r="A15" s="212"/>
      <c r="B15" s="65"/>
      <c r="C15" s="48" t="s">
        <v>74</v>
      </c>
      <c r="D15" s="49"/>
      <c r="E15" s="50">
        <v>10</v>
      </c>
      <c r="F15" s="51" t="s">
        <v>16</v>
      </c>
      <c r="G15" s="69"/>
      <c r="H15" s="73" t="s">
        <v>74</v>
      </c>
      <c r="I15" s="49"/>
      <c r="J15" s="51">
        <f>ROUNDUP(E15*0.75,2)</f>
        <v>7.5</v>
      </c>
      <c r="K15" s="51" t="s">
        <v>16</v>
      </c>
      <c r="L15" s="51"/>
      <c r="M15" s="77" t="e">
        <f>#REF!</f>
        <v>#REF!</v>
      </c>
      <c r="N15" s="65" t="s">
        <v>47</v>
      </c>
      <c r="O15" s="52" t="s">
        <v>75</v>
      </c>
      <c r="P15" s="49"/>
      <c r="Q15" s="53">
        <v>2</v>
      </c>
      <c r="R15" s="85">
        <f>ROUNDUP(Q15*0.75,2)</f>
        <v>1.5</v>
      </c>
    </row>
    <row r="16" spans="1:19" ht="27.95" customHeight="1">
      <c r="A16" s="212"/>
      <c r="B16" s="65"/>
      <c r="C16" s="48"/>
      <c r="D16" s="49"/>
      <c r="E16" s="50"/>
      <c r="F16" s="51"/>
      <c r="G16" s="69"/>
      <c r="H16" s="73"/>
      <c r="I16" s="49"/>
      <c r="J16" s="51"/>
      <c r="K16" s="51"/>
      <c r="L16" s="51"/>
      <c r="M16" s="77"/>
      <c r="N16" s="65"/>
      <c r="O16" s="52" t="s">
        <v>18</v>
      </c>
      <c r="P16" s="49"/>
      <c r="Q16" s="53">
        <v>2</v>
      </c>
      <c r="R16" s="85">
        <f>ROUNDUP(Q16*0.75,2)</f>
        <v>1.5</v>
      </c>
    </row>
    <row r="17" spans="1:18" ht="27.95" customHeight="1">
      <c r="A17" s="212"/>
      <c r="B17" s="64"/>
      <c r="C17" s="42"/>
      <c r="D17" s="43"/>
      <c r="E17" s="44"/>
      <c r="F17" s="45"/>
      <c r="G17" s="68"/>
      <c r="H17" s="72"/>
      <c r="I17" s="43"/>
      <c r="J17" s="45"/>
      <c r="K17" s="45"/>
      <c r="L17" s="45"/>
      <c r="M17" s="76"/>
      <c r="N17" s="64"/>
      <c r="O17" s="46"/>
      <c r="P17" s="43"/>
      <c r="Q17" s="47"/>
      <c r="R17" s="84"/>
    </row>
    <row r="18" spans="1:18" ht="27.95" customHeight="1">
      <c r="A18" s="212"/>
      <c r="B18" s="65" t="s">
        <v>76</v>
      </c>
      <c r="C18" s="48" t="s">
        <v>53</v>
      </c>
      <c r="D18" s="49"/>
      <c r="E18" s="50">
        <v>20</v>
      </c>
      <c r="F18" s="51" t="s">
        <v>16</v>
      </c>
      <c r="G18" s="69"/>
      <c r="H18" s="73" t="s">
        <v>53</v>
      </c>
      <c r="I18" s="49"/>
      <c r="J18" s="51">
        <f>ROUNDUP(E18*0.75,2)</f>
        <v>15</v>
      </c>
      <c r="K18" s="51" t="s">
        <v>16</v>
      </c>
      <c r="L18" s="51"/>
      <c r="M18" s="77" t="e">
        <f>ROUND(#REF!+(#REF!*15/100),2)</f>
        <v>#REF!</v>
      </c>
      <c r="N18" s="65" t="s">
        <v>77</v>
      </c>
      <c r="O18" s="52" t="s">
        <v>66</v>
      </c>
      <c r="P18" s="49" t="s">
        <v>40</v>
      </c>
      <c r="Q18" s="53">
        <v>1</v>
      </c>
      <c r="R18" s="85">
        <f>ROUNDUP(Q18*0.75,2)</f>
        <v>0.75</v>
      </c>
    </row>
    <row r="19" spans="1:18" ht="27.95" customHeight="1">
      <c r="A19" s="212"/>
      <c r="B19" s="65"/>
      <c r="C19" s="48" t="s">
        <v>29</v>
      </c>
      <c r="D19" s="49"/>
      <c r="E19" s="50">
        <v>5</v>
      </c>
      <c r="F19" s="51" t="s">
        <v>16</v>
      </c>
      <c r="G19" s="69"/>
      <c r="H19" s="73" t="s">
        <v>29</v>
      </c>
      <c r="I19" s="49"/>
      <c r="J19" s="51">
        <f>ROUNDUP(E19*0.75,2)</f>
        <v>3.75</v>
      </c>
      <c r="K19" s="51" t="s">
        <v>16</v>
      </c>
      <c r="L19" s="51"/>
      <c r="M19" s="77" t="e">
        <f>ROUND(#REF!+(#REF!*10/100),2)</f>
        <v>#REF!</v>
      </c>
      <c r="N19" s="65" t="s">
        <v>78</v>
      </c>
      <c r="O19" s="52" t="s">
        <v>46</v>
      </c>
      <c r="P19" s="49"/>
      <c r="Q19" s="53">
        <v>60</v>
      </c>
      <c r="R19" s="85">
        <f>ROUNDUP(Q19*0.75,2)</f>
        <v>45</v>
      </c>
    </row>
    <row r="20" spans="1:18" ht="27.95" customHeight="1">
      <c r="A20" s="212"/>
      <c r="B20" s="65"/>
      <c r="C20" s="48" t="s">
        <v>39</v>
      </c>
      <c r="D20" s="49" t="s">
        <v>40</v>
      </c>
      <c r="E20" s="50">
        <v>40</v>
      </c>
      <c r="F20" s="51" t="s">
        <v>41</v>
      </c>
      <c r="G20" s="69"/>
      <c r="H20" s="73" t="s">
        <v>39</v>
      </c>
      <c r="I20" s="49" t="s">
        <v>40</v>
      </c>
      <c r="J20" s="51">
        <f>ROUNDUP(E20*0.75,2)</f>
        <v>30</v>
      </c>
      <c r="K20" s="51" t="s">
        <v>41</v>
      </c>
      <c r="L20" s="51"/>
      <c r="M20" s="77" t="e">
        <f>#REF!</f>
        <v>#REF!</v>
      </c>
      <c r="N20" s="65" t="s">
        <v>79</v>
      </c>
      <c r="O20" s="52" t="s">
        <v>81</v>
      </c>
      <c r="P20" s="49" t="s">
        <v>82</v>
      </c>
      <c r="Q20" s="53">
        <v>0.5</v>
      </c>
      <c r="R20" s="85">
        <f>ROUNDUP(Q20*0.75,2)</f>
        <v>0.38</v>
      </c>
    </row>
    <row r="21" spans="1:18" ht="27.95" customHeight="1">
      <c r="A21" s="212"/>
      <c r="B21" s="65"/>
      <c r="C21" s="48"/>
      <c r="D21" s="49"/>
      <c r="E21" s="50"/>
      <c r="F21" s="51"/>
      <c r="G21" s="69"/>
      <c r="H21" s="73"/>
      <c r="I21" s="49"/>
      <c r="J21" s="51"/>
      <c r="K21" s="51"/>
      <c r="L21" s="51"/>
      <c r="M21" s="77"/>
      <c r="N21" s="65" t="s">
        <v>80</v>
      </c>
      <c r="O21" s="52" t="s">
        <v>19</v>
      </c>
      <c r="P21" s="49"/>
      <c r="Q21" s="53">
        <v>0.1</v>
      </c>
      <c r="R21" s="85">
        <f>ROUNDUP(Q21*0.75,2)</f>
        <v>0.08</v>
      </c>
    </row>
    <row r="22" spans="1:18" ht="27.95" customHeight="1">
      <c r="A22" s="212"/>
      <c r="B22" s="65"/>
      <c r="C22" s="48"/>
      <c r="D22" s="49"/>
      <c r="E22" s="50"/>
      <c r="F22" s="51"/>
      <c r="G22" s="69"/>
      <c r="H22" s="73"/>
      <c r="I22" s="49"/>
      <c r="J22" s="51"/>
      <c r="K22" s="51"/>
      <c r="L22" s="51"/>
      <c r="M22" s="77"/>
      <c r="N22" s="65" t="s">
        <v>47</v>
      </c>
      <c r="O22" s="52" t="s">
        <v>45</v>
      </c>
      <c r="P22" s="49"/>
      <c r="Q22" s="53">
        <v>1</v>
      </c>
      <c r="R22" s="85">
        <f>ROUNDUP(Q22*0.75,2)</f>
        <v>0.75</v>
      </c>
    </row>
    <row r="23" spans="1:18" ht="27.95" customHeight="1">
      <c r="A23" s="212"/>
      <c r="B23" s="65"/>
      <c r="C23" s="48"/>
      <c r="D23" s="49"/>
      <c r="E23" s="50"/>
      <c r="F23" s="51"/>
      <c r="G23" s="69"/>
      <c r="H23" s="73"/>
      <c r="I23" s="49"/>
      <c r="J23" s="51"/>
      <c r="K23" s="51"/>
      <c r="L23" s="51"/>
      <c r="M23" s="77"/>
      <c r="N23" s="65"/>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230</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231</v>
      </c>
      <c r="C7" s="48" t="s">
        <v>67</v>
      </c>
      <c r="D7" s="49"/>
      <c r="E7" s="50">
        <v>30</v>
      </c>
      <c r="F7" s="51" t="s">
        <v>16</v>
      </c>
      <c r="G7" s="69"/>
      <c r="H7" s="73" t="s">
        <v>67</v>
      </c>
      <c r="I7" s="49"/>
      <c r="J7" s="51">
        <f t="shared" ref="J7:J14" si="0">ROUNDUP(E7*0.75,2)</f>
        <v>22.5</v>
      </c>
      <c r="K7" s="51" t="s">
        <v>16</v>
      </c>
      <c r="L7" s="51"/>
      <c r="M7" s="77" t="e">
        <f>#REF!</f>
        <v>#REF!</v>
      </c>
      <c r="N7" s="65" t="s">
        <v>232</v>
      </c>
      <c r="O7" s="52" t="s">
        <v>18</v>
      </c>
      <c r="P7" s="49"/>
      <c r="Q7" s="53">
        <v>2</v>
      </c>
      <c r="R7" s="85">
        <f>ROUNDUP(Q7*0.75,2)</f>
        <v>1.5</v>
      </c>
    </row>
    <row r="8" spans="1:19" ht="27.95" customHeight="1">
      <c r="A8" s="212"/>
      <c r="B8" s="65"/>
      <c r="C8" s="48" t="s">
        <v>15</v>
      </c>
      <c r="D8" s="49"/>
      <c r="E8" s="50">
        <v>10</v>
      </c>
      <c r="F8" s="51" t="s">
        <v>16</v>
      </c>
      <c r="G8" s="69"/>
      <c r="H8" s="73" t="s">
        <v>15</v>
      </c>
      <c r="I8" s="49"/>
      <c r="J8" s="51">
        <f t="shared" si="0"/>
        <v>7.5</v>
      </c>
      <c r="K8" s="51" t="s">
        <v>16</v>
      </c>
      <c r="L8" s="51"/>
      <c r="M8" s="77" t="e">
        <f>ROUND(#REF!+(#REF!*6/100),2)</f>
        <v>#REF!</v>
      </c>
      <c r="N8" s="65" t="s">
        <v>233</v>
      </c>
      <c r="O8" s="52" t="s">
        <v>46</v>
      </c>
      <c r="P8" s="49"/>
      <c r="Q8" s="53">
        <v>80</v>
      </c>
      <c r="R8" s="85">
        <f>ROUNDUP(Q8*0.75,2)</f>
        <v>60</v>
      </c>
    </row>
    <row r="9" spans="1:19" ht="27.95" customHeight="1">
      <c r="A9" s="212"/>
      <c r="B9" s="65"/>
      <c r="C9" s="48" t="s">
        <v>53</v>
      </c>
      <c r="D9" s="49"/>
      <c r="E9" s="50">
        <v>30</v>
      </c>
      <c r="F9" s="51" t="s">
        <v>16</v>
      </c>
      <c r="G9" s="69"/>
      <c r="H9" s="73" t="s">
        <v>53</v>
      </c>
      <c r="I9" s="49"/>
      <c r="J9" s="51">
        <f t="shared" si="0"/>
        <v>22.5</v>
      </c>
      <c r="K9" s="51" t="s">
        <v>16</v>
      </c>
      <c r="L9" s="51"/>
      <c r="M9" s="77" t="e">
        <f>ROUND(#REF!+(#REF!*15/100),2)</f>
        <v>#REF!</v>
      </c>
      <c r="N9" s="65" t="s">
        <v>254</v>
      </c>
      <c r="O9" s="52"/>
      <c r="P9" s="49"/>
      <c r="Q9" s="53"/>
      <c r="R9" s="85"/>
    </row>
    <row r="10" spans="1:19" ht="27.95" customHeight="1">
      <c r="A10" s="212"/>
      <c r="B10" s="65"/>
      <c r="C10" s="48" t="s">
        <v>234</v>
      </c>
      <c r="D10" s="49"/>
      <c r="E10" s="50">
        <v>10</v>
      </c>
      <c r="F10" s="51" t="s">
        <v>16</v>
      </c>
      <c r="G10" s="69"/>
      <c r="H10" s="73" t="s">
        <v>234</v>
      </c>
      <c r="I10" s="49"/>
      <c r="J10" s="51">
        <f t="shared" si="0"/>
        <v>7.5</v>
      </c>
      <c r="K10" s="51" t="s">
        <v>16</v>
      </c>
      <c r="L10" s="51"/>
      <c r="M10" s="77" t="e">
        <f>ROUND(#REF!+(#REF!*20/100),2)</f>
        <v>#REF!</v>
      </c>
      <c r="N10" s="65" t="s">
        <v>255</v>
      </c>
      <c r="O10" s="52"/>
      <c r="P10" s="49"/>
      <c r="Q10" s="53"/>
      <c r="R10" s="85"/>
    </row>
    <row r="11" spans="1:19" ht="27.95" customHeight="1">
      <c r="A11" s="212"/>
      <c r="B11" s="65"/>
      <c r="C11" s="48" t="s">
        <v>29</v>
      </c>
      <c r="D11" s="49"/>
      <c r="E11" s="50">
        <v>10</v>
      </c>
      <c r="F11" s="51" t="s">
        <v>16</v>
      </c>
      <c r="G11" s="69"/>
      <c r="H11" s="73" t="s">
        <v>29</v>
      </c>
      <c r="I11" s="49"/>
      <c r="J11" s="51">
        <f t="shared" si="0"/>
        <v>7.5</v>
      </c>
      <c r="K11" s="51" t="s">
        <v>16</v>
      </c>
      <c r="L11" s="51"/>
      <c r="M11" s="77" t="e">
        <f>ROUND(#REF!+(#REF!*10/100),2)</f>
        <v>#REF!</v>
      </c>
      <c r="N11" s="65" t="s">
        <v>14</v>
      </c>
      <c r="O11" s="52"/>
      <c r="P11" s="49"/>
      <c r="Q11" s="53"/>
      <c r="R11" s="85"/>
    </row>
    <row r="12" spans="1:19" ht="27.95" customHeight="1">
      <c r="A12" s="212"/>
      <c r="B12" s="65"/>
      <c r="C12" s="48" t="s">
        <v>209</v>
      </c>
      <c r="D12" s="49" t="s">
        <v>82</v>
      </c>
      <c r="E12" s="50">
        <v>10</v>
      </c>
      <c r="F12" s="51" t="s">
        <v>16</v>
      </c>
      <c r="G12" s="69"/>
      <c r="H12" s="73" t="s">
        <v>209</v>
      </c>
      <c r="I12" s="49" t="s">
        <v>82</v>
      </c>
      <c r="J12" s="51">
        <f t="shared" si="0"/>
        <v>7.5</v>
      </c>
      <c r="K12" s="51" t="s">
        <v>16</v>
      </c>
      <c r="L12" s="51"/>
      <c r="M12" s="77" t="e">
        <f>#REF!</f>
        <v>#REF!</v>
      </c>
      <c r="N12" s="65"/>
      <c r="O12" s="52"/>
      <c r="P12" s="49"/>
      <c r="Q12" s="53"/>
      <c r="R12" s="85"/>
    </row>
    <row r="13" spans="1:19" ht="27.95" customHeight="1">
      <c r="A13" s="212"/>
      <c r="B13" s="65"/>
      <c r="C13" s="48" t="s">
        <v>39</v>
      </c>
      <c r="D13" s="49" t="s">
        <v>40</v>
      </c>
      <c r="E13" s="50">
        <v>40</v>
      </c>
      <c r="F13" s="51" t="s">
        <v>41</v>
      </c>
      <c r="G13" s="69"/>
      <c r="H13" s="73" t="s">
        <v>39</v>
      </c>
      <c r="I13" s="49" t="s">
        <v>40</v>
      </c>
      <c r="J13" s="51">
        <f t="shared" si="0"/>
        <v>30</v>
      </c>
      <c r="K13" s="51" t="s">
        <v>41</v>
      </c>
      <c r="L13" s="51"/>
      <c r="M13" s="77" t="e">
        <f>#REF!</f>
        <v>#REF!</v>
      </c>
      <c r="N13" s="65"/>
      <c r="O13" s="52"/>
      <c r="P13" s="49"/>
      <c r="Q13" s="53"/>
      <c r="R13" s="85"/>
    </row>
    <row r="14" spans="1:19" ht="27.95" customHeight="1">
      <c r="A14" s="212"/>
      <c r="B14" s="65"/>
      <c r="C14" s="48" t="s">
        <v>26</v>
      </c>
      <c r="D14" s="49"/>
      <c r="E14" s="50">
        <v>0.5</v>
      </c>
      <c r="F14" s="51" t="s">
        <v>16</v>
      </c>
      <c r="G14" s="69"/>
      <c r="H14" s="73" t="s">
        <v>26</v>
      </c>
      <c r="I14" s="49"/>
      <c r="J14" s="51">
        <f t="shared" si="0"/>
        <v>0.38</v>
      </c>
      <c r="K14" s="51" t="s">
        <v>16</v>
      </c>
      <c r="L14" s="51"/>
      <c r="M14" s="77" t="e">
        <f>ROUND(#REF!+(#REF!*10/100),2)</f>
        <v>#REF!</v>
      </c>
      <c r="N14" s="65"/>
      <c r="O14" s="52"/>
      <c r="P14" s="49"/>
      <c r="Q14" s="53"/>
      <c r="R14" s="85"/>
    </row>
    <row r="15" spans="1:19" ht="27.95" customHeight="1">
      <c r="A15" s="212"/>
      <c r="B15" s="64"/>
      <c r="C15" s="42"/>
      <c r="D15" s="43"/>
      <c r="E15" s="44"/>
      <c r="F15" s="45"/>
      <c r="G15" s="68"/>
      <c r="H15" s="72"/>
      <c r="I15" s="43"/>
      <c r="J15" s="45"/>
      <c r="K15" s="45"/>
      <c r="L15" s="45"/>
      <c r="M15" s="76"/>
      <c r="N15" s="64"/>
      <c r="O15" s="46"/>
      <c r="P15" s="43"/>
      <c r="Q15" s="47"/>
      <c r="R15" s="84"/>
    </row>
    <row r="16" spans="1:19" ht="27.95" customHeight="1">
      <c r="A16" s="212"/>
      <c r="B16" s="65" t="s">
        <v>210</v>
      </c>
      <c r="C16" s="48" t="s">
        <v>17</v>
      </c>
      <c r="D16" s="49"/>
      <c r="E16" s="50">
        <v>30</v>
      </c>
      <c r="F16" s="51" t="s">
        <v>16</v>
      </c>
      <c r="G16" s="69"/>
      <c r="H16" s="73" t="s">
        <v>17</v>
      </c>
      <c r="I16" s="49"/>
      <c r="J16" s="51">
        <f>ROUNDUP(E16*0.75,2)</f>
        <v>22.5</v>
      </c>
      <c r="K16" s="51" t="s">
        <v>16</v>
      </c>
      <c r="L16" s="51"/>
      <c r="M16" s="77" t="e">
        <f>ROUND(#REF!+(#REF!*10/100),2)</f>
        <v>#REF!</v>
      </c>
      <c r="N16" s="65" t="s">
        <v>211</v>
      </c>
      <c r="O16" s="52" t="s">
        <v>32</v>
      </c>
      <c r="P16" s="49"/>
      <c r="Q16" s="53">
        <v>1</v>
      </c>
      <c r="R16" s="85">
        <f>ROUNDUP(Q16*0.75,2)</f>
        <v>0.75</v>
      </c>
    </row>
    <row r="17" spans="1:18" ht="27.95" customHeight="1">
      <c r="A17" s="212"/>
      <c r="B17" s="65"/>
      <c r="C17" s="48" t="s">
        <v>128</v>
      </c>
      <c r="D17" s="49"/>
      <c r="E17" s="50">
        <v>10</v>
      </c>
      <c r="F17" s="51" t="s">
        <v>16</v>
      </c>
      <c r="G17" s="69"/>
      <c r="H17" s="73" t="s">
        <v>128</v>
      </c>
      <c r="I17" s="49"/>
      <c r="J17" s="51">
        <f>ROUNDUP(E17*0.75,2)</f>
        <v>7.5</v>
      </c>
      <c r="K17" s="51" t="s">
        <v>16</v>
      </c>
      <c r="L17" s="51"/>
      <c r="M17" s="77" t="e">
        <f>ROUND(#REF!+(#REF!*50/100),2)</f>
        <v>#REF!</v>
      </c>
      <c r="N17" s="65" t="s">
        <v>212</v>
      </c>
      <c r="O17" s="52" t="s">
        <v>19</v>
      </c>
      <c r="P17" s="49"/>
      <c r="Q17" s="53">
        <v>0.1</v>
      </c>
      <c r="R17" s="85">
        <f>ROUNDUP(Q17*0.75,2)</f>
        <v>0.08</v>
      </c>
    </row>
    <row r="18" spans="1:18" ht="27.95" customHeight="1">
      <c r="A18" s="212"/>
      <c r="B18" s="65"/>
      <c r="C18" s="48" t="s">
        <v>213</v>
      </c>
      <c r="D18" s="49"/>
      <c r="E18" s="50">
        <v>5</v>
      </c>
      <c r="F18" s="51" t="s">
        <v>16</v>
      </c>
      <c r="G18" s="69"/>
      <c r="H18" s="73" t="s">
        <v>213</v>
      </c>
      <c r="I18" s="49"/>
      <c r="J18" s="51">
        <f>ROUNDUP(E18*0.75,2)</f>
        <v>3.75</v>
      </c>
      <c r="K18" s="51" t="s">
        <v>16</v>
      </c>
      <c r="L18" s="51"/>
      <c r="M18" s="77" t="e">
        <f>ROUND(#REF!+(#REF!*10/100),2)</f>
        <v>#REF!</v>
      </c>
      <c r="N18" s="65" t="s">
        <v>14</v>
      </c>
      <c r="O18" s="52" t="s">
        <v>75</v>
      </c>
      <c r="P18" s="49"/>
      <c r="Q18" s="53">
        <v>2</v>
      </c>
      <c r="R18" s="85">
        <f>ROUNDUP(Q18*0.75,2)</f>
        <v>1.5</v>
      </c>
    </row>
    <row r="19" spans="1:18" ht="27.95" customHeight="1">
      <c r="A19" s="212"/>
      <c r="B19" s="65"/>
      <c r="C19" s="48" t="s">
        <v>21</v>
      </c>
      <c r="D19" s="49" t="s">
        <v>22</v>
      </c>
      <c r="E19" s="80">
        <v>0.5</v>
      </c>
      <c r="F19" s="51" t="s">
        <v>23</v>
      </c>
      <c r="G19" s="69"/>
      <c r="H19" s="73" t="s">
        <v>21</v>
      </c>
      <c r="I19" s="49" t="s">
        <v>22</v>
      </c>
      <c r="J19" s="51">
        <f>ROUNDUP(E19*0.75,2)</f>
        <v>0.38</v>
      </c>
      <c r="K19" s="51" t="s">
        <v>23</v>
      </c>
      <c r="L19" s="51"/>
      <c r="M19" s="77" t="e">
        <f>#REF!</f>
        <v>#REF!</v>
      </c>
      <c r="N19" s="65"/>
      <c r="O19" s="52" t="s">
        <v>18</v>
      </c>
      <c r="P19" s="49"/>
      <c r="Q19" s="53">
        <v>2</v>
      </c>
      <c r="R19" s="85">
        <f>ROUNDUP(Q19*0.75,2)</f>
        <v>1.5</v>
      </c>
    </row>
    <row r="20" spans="1:18" ht="27.95" customHeight="1">
      <c r="A20" s="212"/>
      <c r="B20" s="64"/>
      <c r="C20" s="42"/>
      <c r="D20" s="43"/>
      <c r="E20" s="44"/>
      <c r="F20" s="45"/>
      <c r="G20" s="68"/>
      <c r="H20" s="72"/>
      <c r="I20" s="43"/>
      <c r="J20" s="45"/>
      <c r="K20" s="45"/>
      <c r="L20" s="45"/>
      <c r="M20" s="76"/>
      <c r="N20" s="64"/>
      <c r="O20" s="46"/>
      <c r="P20" s="43"/>
      <c r="Q20" s="47"/>
      <c r="R20" s="84"/>
    </row>
    <row r="21" spans="1:18" ht="27.95" customHeight="1">
      <c r="A21" s="212"/>
      <c r="B21" s="65" t="s">
        <v>58</v>
      </c>
      <c r="C21" s="48" t="s">
        <v>60</v>
      </c>
      <c r="D21" s="49"/>
      <c r="E21" s="62">
        <v>0.16666666666666666</v>
      </c>
      <c r="F21" s="51" t="s">
        <v>23</v>
      </c>
      <c r="G21" s="69"/>
      <c r="H21" s="73" t="s">
        <v>60</v>
      </c>
      <c r="I21" s="49"/>
      <c r="J21" s="51">
        <f>ROUNDUP(E21*0.75,2)</f>
        <v>0.13</v>
      </c>
      <c r="K21" s="51" t="s">
        <v>23</v>
      </c>
      <c r="L21" s="51"/>
      <c r="M21" s="77" t="e">
        <f>#REF!</f>
        <v>#REF!</v>
      </c>
      <c r="N21" s="65" t="s">
        <v>59</v>
      </c>
      <c r="O21" s="52"/>
      <c r="P21" s="49"/>
      <c r="Q21" s="53"/>
      <c r="R21" s="85"/>
    </row>
    <row r="22" spans="1:18" ht="27.95" customHeight="1" thickBot="1">
      <c r="A22" s="213"/>
      <c r="B22" s="66"/>
      <c r="C22" s="55"/>
      <c r="D22" s="56"/>
      <c r="E22" s="57"/>
      <c r="F22" s="58"/>
      <c r="G22" s="70"/>
      <c r="H22" s="74"/>
      <c r="I22" s="56"/>
      <c r="J22" s="58"/>
      <c r="K22" s="58"/>
      <c r="L22" s="58"/>
      <c r="M22" s="78"/>
      <c r="N22" s="66"/>
      <c r="O22" s="59"/>
      <c r="P22" s="56"/>
      <c r="Q22" s="60"/>
      <c r="R22" s="87"/>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235</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62</v>
      </c>
      <c r="C5" s="36" t="s">
        <v>65</v>
      </c>
      <c r="D5" s="37" t="s">
        <v>34</v>
      </c>
      <c r="E5" s="38">
        <v>40</v>
      </c>
      <c r="F5" s="39" t="s">
        <v>16</v>
      </c>
      <c r="G5" s="67"/>
      <c r="H5" s="71" t="s">
        <v>65</v>
      </c>
      <c r="I5" s="37" t="s">
        <v>34</v>
      </c>
      <c r="J5" s="39">
        <f>ROUNDUP(E5*0.75,2)</f>
        <v>30</v>
      </c>
      <c r="K5" s="39" t="s">
        <v>16</v>
      </c>
      <c r="L5" s="39"/>
      <c r="M5" s="75" t="e">
        <f>#REF!</f>
        <v>#REF!</v>
      </c>
      <c r="N5" s="63" t="s">
        <v>63</v>
      </c>
      <c r="O5" s="40" t="s">
        <v>66</v>
      </c>
      <c r="P5" s="37" t="s">
        <v>40</v>
      </c>
      <c r="Q5" s="41">
        <v>2</v>
      </c>
      <c r="R5" s="83">
        <f t="shared" ref="R5:R10" si="0">ROUNDUP(Q5*0.75,2)</f>
        <v>1.5</v>
      </c>
    </row>
    <row r="6" spans="1:19" ht="27.95" customHeight="1">
      <c r="A6" s="212"/>
      <c r="B6" s="65"/>
      <c r="C6" s="48" t="s">
        <v>67</v>
      </c>
      <c r="D6" s="49"/>
      <c r="E6" s="50">
        <v>20</v>
      </c>
      <c r="F6" s="51" t="s">
        <v>16</v>
      </c>
      <c r="G6" s="69"/>
      <c r="H6" s="73" t="s">
        <v>67</v>
      </c>
      <c r="I6" s="49"/>
      <c r="J6" s="51">
        <f>ROUNDUP(E6*0.75,2)</f>
        <v>15</v>
      </c>
      <c r="K6" s="51" t="s">
        <v>16</v>
      </c>
      <c r="L6" s="51"/>
      <c r="M6" s="77" t="e">
        <f>#REF!</f>
        <v>#REF!</v>
      </c>
      <c r="N6" s="65" t="s">
        <v>64</v>
      </c>
      <c r="O6" s="52" t="s">
        <v>49</v>
      </c>
      <c r="P6" s="49"/>
      <c r="Q6" s="53">
        <v>0.5</v>
      </c>
      <c r="R6" s="85">
        <f t="shared" si="0"/>
        <v>0.38</v>
      </c>
    </row>
    <row r="7" spans="1:19" ht="27.95" customHeight="1">
      <c r="A7" s="212"/>
      <c r="B7" s="65"/>
      <c r="C7" s="48" t="s">
        <v>15</v>
      </c>
      <c r="D7" s="49"/>
      <c r="E7" s="50">
        <v>30</v>
      </c>
      <c r="F7" s="51" t="s">
        <v>16</v>
      </c>
      <c r="G7" s="69"/>
      <c r="H7" s="73" t="s">
        <v>15</v>
      </c>
      <c r="I7" s="49"/>
      <c r="J7" s="51">
        <f>ROUNDUP(E7*0.75,2)</f>
        <v>22.5</v>
      </c>
      <c r="K7" s="51" t="s">
        <v>16</v>
      </c>
      <c r="L7" s="51"/>
      <c r="M7" s="77" t="e">
        <f>ROUND(#REF!+(#REF!*6/100),2)</f>
        <v>#REF!</v>
      </c>
      <c r="N7" s="82" t="s">
        <v>237</v>
      </c>
      <c r="O7" s="52" t="s">
        <v>18</v>
      </c>
      <c r="P7" s="49"/>
      <c r="Q7" s="53">
        <v>2</v>
      </c>
      <c r="R7" s="85">
        <f t="shared" si="0"/>
        <v>1.5</v>
      </c>
    </row>
    <row r="8" spans="1:19" ht="27.95" customHeight="1">
      <c r="A8" s="212"/>
      <c r="B8" s="65"/>
      <c r="C8" s="48" t="s">
        <v>68</v>
      </c>
      <c r="D8" s="49"/>
      <c r="E8" s="50">
        <v>5</v>
      </c>
      <c r="F8" s="51" t="s">
        <v>16</v>
      </c>
      <c r="G8" s="69"/>
      <c r="H8" s="73" t="s">
        <v>68</v>
      </c>
      <c r="I8" s="49"/>
      <c r="J8" s="51">
        <f>ROUNDUP(E8*0.75,2)</f>
        <v>3.75</v>
      </c>
      <c r="K8" s="51" t="s">
        <v>16</v>
      </c>
      <c r="L8" s="51"/>
      <c r="M8" s="77" t="e">
        <f>#REF!</f>
        <v>#REF!</v>
      </c>
      <c r="N8" s="65" t="s">
        <v>265</v>
      </c>
      <c r="O8" s="52" t="s">
        <v>24</v>
      </c>
      <c r="P8" s="49"/>
      <c r="Q8" s="53">
        <v>10</v>
      </c>
      <c r="R8" s="85">
        <f t="shared" si="0"/>
        <v>7.5</v>
      </c>
    </row>
    <row r="9" spans="1:19" ht="27.95" customHeight="1">
      <c r="A9" s="212"/>
      <c r="B9" s="65"/>
      <c r="C9" s="48"/>
      <c r="D9" s="49"/>
      <c r="E9" s="50"/>
      <c r="F9" s="51"/>
      <c r="G9" s="69"/>
      <c r="H9" s="73"/>
      <c r="I9" s="49"/>
      <c r="J9" s="51"/>
      <c r="K9" s="51"/>
      <c r="L9" s="51"/>
      <c r="M9" s="77"/>
      <c r="N9" s="65" t="s">
        <v>14</v>
      </c>
      <c r="O9" s="52" t="s">
        <v>54</v>
      </c>
      <c r="P9" s="49"/>
      <c r="Q9" s="53">
        <v>2</v>
      </c>
      <c r="R9" s="85">
        <f t="shared" si="0"/>
        <v>1.5</v>
      </c>
    </row>
    <row r="10" spans="1:19" ht="27.95" customHeight="1">
      <c r="A10" s="212"/>
      <c r="B10" s="65"/>
      <c r="C10" s="48"/>
      <c r="D10" s="49"/>
      <c r="E10" s="50"/>
      <c r="F10" s="51"/>
      <c r="G10" s="69"/>
      <c r="H10" s="73"/>
      <c r="I10" s="49"/>
      <c r="J10" s="51"/>
      <c r="K10" s="51"/>
      <c r="L10" s="51"/>
      <c r="M10" s="77"/>
      <c r="N10" s="65"/>
      <c r="O10" s="52" t="s">
        <v>32</v>
      </c>
      <c r="P10" s="49"/>
      <c r="Q10" s="53">
        <v>0.5</v>
      </c>
      <c r="R10" s="85">
        <f t="shared" si="0"/>
        <v>0.38</v>
      </c>
    </row>
    <row r="11" spans="1:19" ht="27.95" customHeight="1">
      <c r="A11" s="212"/>
      <c r="B11" s="64"/>
      <c r="C11" s="42"/>
      <c r="D11" s="43"/>
      <c r="E11" s="44"/>
      <c r="F11" s="45"/>
      <c r="G11" s="68"/>
      <c r="H11" s="72"/>
      <c r="I11" s="43"/>
      <c r="J11" s="45"/>
      <c r="K11" s="45"/>
      <c r="L11" s="45"/>
      <c r="M11" s="76"/>
      <c r="N11" s="64"/>
      <c r="O11" s="46"/>
      <c r="P11" s="43"/>
      <c r="Q11" s="47"/>
      <c r="R11" s="84"/>
    </row>
    <row r="12" spans="1:19" ht="27.95" customHeight="1">
      <c r="A12" s="212"/>
      <c r="B12" s="65" t="s">
        <v>69</v>
      </c>
      <c r="C12" s="48" t="s">
        <v>71</v>
      </c>
      <c r="D12" s="49"/>
      <c r="E12" s="62">
        <v>0.16666666666666666</v>
      </c>
      <c r="F12" s="51" t="s">
        <v>72</v>
      </c>
      <c r="G12" s="69"/>
      <c r="H12" s="73" t="s">
        <v>71</v>
      </c>
      <c r="I12" s="49"/>
      <c r="J12" s="51">
        <f>ROUNDUP(E12*0.75,2)</f>
        <v>0.13</v>
      </c>
      <c r="K12" s="51" t="s">
        <v>72</v>
      </c>
      <c r="L12" s="51"/>
      <c r="M12" s="77" t="e">
        <f>#REF!</f>
        <v>#REF!</v>
      </c>
      <c r="N12" s="65" t="s">
        <v>256</v>
      </c>
      <c r="O12" s="52" t="s">
        <v>32</v>
      </c>
      <c r="P12" s="49"/>
      <c r="Q12" s="53">
        <v>1</v>
      </c>
      <c r="R12" s="85">
        <f>ROUNDUP(Q12*0.75,2)</f>
        <v>0.75</v>
      </c>
    </row>
    <row r="13" spans="1:19" ht="27.95" customHeight="1">
      <c r="A13" s="212"/>
      <c r="B13" s="65"/>
      <c r="C13" s="48" t="s">
        <v>21</v>
      </c>
      <c r="D13" s="49" t="s">
        <v>22</v>
      </c>
      <c r="E13" s="61">
        <v>0.25</v>
      </c>
      <c r="F13" s="51" t="s">
        <v>23</v>
      </c>
      <c r="G13" s="69"/>
      <c r="H13" s="73" t="s">
        <v>21</v>
      </c>
      <c r="I13" s="49" t="s">
        <v>22</v>
      </c>
      <c r="J13" s="51">
        <f>ROUNDUP(E13*0.75,2)</f>
        <v>0.19</v>
      </c>
      <c r="K13" s="51" t="s">
        <v>23</v>
      </c>
      <c r="L13" s="51"/>
      <c r="M13" s="77" t="e">
        <f>#REF!</f>
        <v>#REF!</v>
      </c>
      <c r="N13" s="65" t="s">
        <v>257</v>
      </c>
      <c r="O13" s="52" t="s">
        <v>19</v>
      </c>
      <c r="P13" s="49"/>
      <c r="Q13" s="53">
        <v>0.1</v>
      </c>
      <c r="R13" s="85">
        <f>ROUNDUP(Q13*0.75,2)</f>
        <v>0.08</v>
      </c>
    </row>
    <row r="14" spans="1:19" ht="27.95" customHeight="1">
      <c r="A14" s="212"/>
      <c r="B14" s="65"/>
      <c r="C14" s="48" t="s">
        <v>73</v>
      </c>
      <c r="D14" s="49"/>
      <c r="E14" s="50">
        <v>10</v>
      </c>
      <c r="F14" s="51" t="s">
        <v>16</v>
      </c>
      <c r="G14" s="69"/>
      <c r="H14" s="73" t="s">
        <v>73</v>
      </c>
      <c r="I14" s="49"/>
      <c r="J14" s="51">
        <f>ROUNDUP(E14*0.75,2)</f>
        <v>7.5</v>
      </c>
      <c r="K14" s="51" t="s">
        <v>16</v>
      </c>
      <c r="L14" s="51"/>
      <c r="M14" s="77" t="e">
        <f>ROUND(#REF!+(#REF!*2/100),2)</f>
        <v>#REF!</v>
      </c>
      <c r="N14" s="65" t="s">
        <v>70</v>
      </c>
      <c r="O14" s="52" t="s">
        <v>33</v>
      </c>
      <c r="P14" s="49" t="s">
        <v>34</v>
      </c>
      <c r="Q14" s="53">
        <v>0.5</v>
      </c>
      <c r="R14" s="85">
        <f>ROUNDUP(Q14*0.75,2)</f>
        <v>0.38</v>
      </c>
    </row>
    <row r="15" spans="1:19" ht="27.95" customHeight="1">
      <c r="A15" s="212"/>
      <c r="B15" s="65"/>
      <c r="C15" s="48" t="s">
        <v>74</v>
      </c>
      <c r="D15" s="49"/>
      <c r="E15" s="50">
        <v>10</v>
      </c>
      <c r="F15" s="51" t="s">
        <v>16</v>
      </c>
      <c r="G15" s="69"/>
      <c r="H15" s="73" t="s">
        <v>74</v>
      </c>
      <c r="I15" s="49"/>
      <c r="J15" s="51">
        <f>ROUNDUP(E15*0.75,2)</f>
        <v>7.5</v>
      </c>
      <c r="K15" s="51" t="s">
        <v>16</v>
      </c>
      <c r="L15" s="51"/>
      <c r="M15" s="77" t="e">
        <f>#REF!</f>
        <v>#REF!</v>
      </c>
      <c r="N15" s="65" t="s">
        <v>47</v>
      </c>
      <c r="O15" s="52" t="s">
        <v>75</v>
      </c>
      <c r="P15" s="49"/>
      <c r="Q15" s="53">
        <v>2</v>
      </c>
      <c r="R15" s="85">
        <f>ROUNDUP(Q15*0.75,2)</f>
        <v>1.5</v>
      </c>
    </row>
    <row r="16" spans="1:19" ht="27.95" customHeight="1">
      <c r="A16" s="212"/>
      <c r="B16" s="65"/>
      <c r="C16" s="48"/>
      <c r="D16" s="49"/>
      <c r="E16" s="50"/>
      <c r="F16" s="51"/>
      <c r="G16" s="69"/>
      <c r="H16" s="73"/>
      <c r="I16" s="49"/>
      <c r="J16" s="51"/>
      <c r="K16" s="51"/>
      <c r="L16" s="51"/>
      <c r="M16" s="77"/>
      <c r="N16" s="65"/>
      <c r="O16" s="52" t="s">
        <v>18</v>
      </c>
      <c r="P16" s="49"/>
      <c r="Q16" s="53">
        <v>2</v>
      </c>
      <c r="R16" s="85">
        <f>ROUNDUP(Q16*0.75,2)</f>
        <v>1.5</v>
      </c>
    </row>
    <row r="17" spans="1:18" ht="27.95" customHeight="1">
      <c r="A17" s="212"/>
      <c r="B17" s="64"/>
      <c r="C17" s="42"/>
      <c r="D17" s="43"/>
      <c r="E17" s="44"/>
      <c r="F17" s="45"/>
      <c r="G17" s="68"/>
      <c r="H17" s="72"/>
      <c r="I17" s="43"/>
      <c r="J17" s="45"/>
      <c r="K17" s="45"/>
      <c r="L17" s="45"/>
      <c r="M17" s="76"/>
      <c r="N17" s="64"/>
      <c r="O17" s="46"/>
      <c r="P17" s="43"/>
      <c r="Q17" s="47"/>
      <c r="R17" s="84"/>
    </row>
    <row r="18" spans="1:18" ht="27.95" customHeight="1">
      <c r="A18" s="212"/>
      <c r="B18" s="65" t="s">
        <v>76</v>
      </c>
      <c r="C18" s="48" t="s">
        <v>53</v>
      </c>
      <c r="D18" s="49"/>
      <c r="E18" s="50">
        <v>20</v>
      </c>
      <c r="F18" s="51" t="s">
        <v>16</v>
      </c>
      <c r="G18" s="69"/>
      <c r="H18" s="73" t="s">
        <v>53</v>
      </c>
      <c r="I18" s="49"/>
      <c r="J18" s="51">
        <f>ROUNDUP(E18*0.75,2)</f>
        <v>15</v>
      </c>
      <c r="K18" s="51" t="s">
        <v>16</v>
      </c>
      <c r="L18" s="51"/>
      <c r="M18" s="77" t="e">
        <f>ROUND(#REF!+(#REF!*15/100),2)</f>
        <v>#REF!</v>
      </c>
      <c r="N18" s="65" t="s">
        <v>77</v>
      </c>
      <c r="O18" s="52" t="s">
        <v>66</v>
      </c>
      <c r="P18" s="49" t="s">
        <v>40</v>
      </c>
      <c r="Q18" s="53">
        <v>1</v>
      </c>
      <c r="R18" s="85">
        <f>ROUNDUP(Q18*0.75,2)</f>
        <v>0.75</v>
      </c>
    </row>
    <row r="19" spans="1:18" ht="27.95" customHeight="1">
      <c r="A19" s="212"/>
      <c r="B19" s="65"/>
      <c r="C19" s="48" t="s">
        <v>29</v>
      </c>
      <c r="D19" s="49"/>
      <c r="E19" s="50">
        <v>5</v>
      </c>
      <c r="F19" s="51" t="s">
        <v>16</v>
      </c>
      <c r="G19" s="69"/>
      <c r="H19" s="73" t="s">
        <v>29</v>
      </c>
      <c r="I19" s="49"/>
      <c r="J19" s="51">
        <f>ROUNDUP(E19*0.75,2)</f>
        <v>3.75</v>
      </c>
      <c r="K19" s="51" t="s">
        <v>16</v>
      </c>
      <c r="L19" s="51"/>
      <c r="M19" s="77" t="e">
        <f>ROUND(#REF!+(#REF!*10/100),2)</f>
        <v>#REF!</v>
      </c>
      <c r="N19" s="65" t="s">
        <v>78</v>
      </c>
      <c r="O19" s="52" t="s">
        <v>46</v>
      </c>
      <c r="P19" s="49"/>
      <c r="Q19" s="53">
        <v>60</v>
      </c>
      <c r="R19" s="85">
        <f>ROUNDUP(Q19*0.75,2)</f>
        <v>45</v>
      </c>
    </row>
    <row r="20" spans="1:18" ht="27.95" customHeight="1">
      <c r="A20" s="212"/>
      <c r="B20" s="65"/>
      <c r="C20" s="48" t="s">
        <v>39</v>
      </c>
      <c r="D20" s="49" t="s">
        <v>40</v>
      </c>
      <c r="E20" s="50">
        <v>40</v>
      </c>
      <c r="F20" s="51" t="s">
        <v>41</v>
      </c>
      <c r="G20" s="69"/>
      <c r="H20" s="73" t="s">
        <v>39</v>
      </c>
      <c r="I20" s="49" t="s">
        <v>40</v>
      </c>
      <c r="J20" s="51">
        <f>ROUNDUP(E20*0.75,2)</f>
        <v>30</v>
      </c>
      <c r="K20" s="51" t="s">
        <v>41</v>
      </c>
      <c r="L20" s="51"/>
      <c r="M20" s="77" t="e">
        <f>#REF!</f>
        <v>#REF!</v>
      </c>
      <c r="N20" s="65" t="s">
        <v>79</v>
      </c>
      <c r="O20" s="52" t="s">
        <v>81</v>
      </c>
      <c r="P20" s="49" t="s">
        <v>82</v>
      </c>
      <c r="Q20" s="53">
        <v>0.5</v>
      </c>
      <c r="R20" s="85">
        <f>ROUNDUP(Q20*0.75,2)</f>
        <v>0.38</v>
      </c>
    </row>
    <row r="21" spans="1:18" ht="27.95" customHeight="1">
      <c r="A21" s="212"/>
      <c r="B21" s="65"/>
      <c r="C21" s="48"/>
      <c r="D21" s="49"/>
      <c r="E21" s="50"/>
      <c r="F21" s="51"/>
      <c r="G21" s="69"/>
      <c r="H21" s="73"/>
      <c r="I21" s="49"/>
      <c r="J21" s="51"/>
      <c r="K21" s="51"/>
      <c r="L21" s="51"/>
      <c r="M21" s="77"/>
      <c r="N21" s="65" t="s">
        <v>80</v>
      </c>
      <c r="O21" s="52" t="s">
        <v>19</v>
      </c>
      <c r="P21" s="49"/>
      <c r="Q21" s="53">
        <v>0.1</v>
      </c>
      <c r="R21" s="85">
        <f>ROUNDUP(Q21*0.75,2)</f>
        <v>0.08</v>
      </c>
    </row>
    <row r="22" spans="1:18" ht="27.95" customHeight="1">
      <c r="A22" s="212"/>
      <c r="B22" s="65"/>
      <c r="C22" s="48"/>
      <c r="D22" s="49"/>
      <c r="E22" s="50"/>
      <c r="F22" s="51"/>
      <c r="G22" s="69"/>
      <c r="H22" s="73"/>
      <c r="I22" s="49"/>
      <c r="J22" s="51"/>
      <c r="K22" s="51"/>
      <c r="L22" s="51"/>
      <c r="M22" s="77"/>
      <c r="N22" s="65" t="s">
        <v>47</v>
      </c>
      <c r="O22" s="52" t="s">
        <v>45</v>
      </c>
      <c r="P22" s="49"/>
      <c r="Q22" s="53">
        <v>1</v>
      </c>
      <c r="R22" s="85">
        <f>ROUNDUP(Q22*0.75,2)</f>
        <v>0.75</v>
      </c>
    </row>
    <row r="23" spans="1:18" ht="27.95" customHeight="1">
      <c r="A23" s="212"/>
      <c r="B23" s="65"/>
      <c r="C23" s="48"/>
      <c r="D23" s="49"/>
      <c r="E23" s="50"/>
      <c r="F23" s="51"/>
      <c r="G23" s="69"/>
      <c r="H23" s="73"/>
      <c r="I23" s="49"/>
      <c r="J23" s="51"/>
      <c r="K23" s="51"/>
      <c r="L23" s="51"/>
      <c r="M23" s="77"/>
      <c r="N23" s="65"/>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236</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215</v>
      </c>
      <c r="C7" s="48" t="s">
        <v>185</v>
      </c>
      <c r="D7" s="49"/>
      <c r="E7" s="50">
        <v>1</v>
      </c>
      <c r="F7" s="51" t="s">
        <v>98</v>
      </c>
      <c r="G7" s="69"/>
      <c r="H7" s="73" t="s">
        <v>185</v>
      </c>
      <c r="I7" s="49"/>
      <c r="J7" s="51">
        <f t="shared" ref="J7:J12" si="0">ROUNDUP(E7*0.75,2)</f>
        <v>0.75</v>
      </c>
      <c r="K7" s="51" t="s">
        <v>98</v>
      </c>
      <c r="L7" s="51"/>
      <c r="M7" s="77" t="e">
        <f>#REF!</f>
        <v>#REF!</v>
      </c>
      <c r="N7" s="65" t="s">
        <v>250</v>
      </c>
      <c r="O7" s="52" t="s">
        <v>32</v>
      </c>
      <c r="P7" s="49"/>
      <c r="Q7" s="53">
        <v>0.5</v>
      </c>
      <c r="R7" s="85">
        <f t="shared" ref="R7:R13" si="1">ROUNDUP(Q7*0.75,2)</f>
        <v>0.38</v>
      </c>
    </row>
    <row r="8" spans="1:19" ht="27.95" customHeight="1">
      <c r="A8" s="212"/>
      <c r="B8" s="65"/>
      <c r="C8" s="48" t="s">
        <v>219</v>
      </c>
      <c r="D8" s="49"/>
      <c r="E8" s="50">
        <v>0.5</v>
      </c>
      <c r="F8" s="51" t="s">
        <v>16</v>
      </c>
      <c r="G8" s="69"/>
      <c r="H8" s="73" t="s">
        <v>219</v>
      </c>
      <c r="I8" s="49"/>
      <c r="J8" s="51">
        <f t="shared" si="0"/>
        <v>0.38</v>
      </c>
      <c r="K8" s="51" t="s">
        <v>16</v>
      </c>
      <c r="L8" s="51"/>
      <c r="M8" s="77" t="e">
        <f>ROUND(#REF!+(#REF!*8/100),2)</f>
        <v>#REF!</v>
      </c>
      <c r="N8" s="86" t="s">
        <v>251</v>
      </c>
      <c r="O8" s="52" t="s">
        <v>52</v>
      </c>
      <c r="P8" s="49"/>
      <c r="Q8" s="53">
        <v>2</v>
      </c>
      <c r="R8" s="85">
        <f t="shared" si="1"/>
        <v>1.5</v>
      </c>
    </row>
    <row r="9" spans="1:19" ht="27.95" customHeight="1">
      <c r="A9" s="212"/>
      <c r="B9" s="65"/>
      <c r="C9" s="48" t="s">
        <v>85</v>
      </c>
      <c r="D9" s="49"/>
      <c r="E9" s="50">
        <v>0.5</v>
      </c>
      <c r="F9" s="51" t="s">
        <v>16</v>
      </c>
      <c r="G9" s="69"/>
      <c r="H9" s="73" t="s">
        <v>85</v>
      </c>
      <c r="I9" s="49"/>
      <c r="J9" s="51">
        <f t="shared" si="0"/>
        <v>0.38</v>
      </c>
      <c r="K9" s="51" t="s">
        <v>16</v>
      </c>
      <c r="L9" s="51"/>
      <c r="M9" s="77" t="e">
        <f>ROUND(#REF!+(#REF!*20/100),2)</f>
        <v>#REF!</v>
      </c>
      <c r="N9" s="65" t="s">
        <v>216</v>
      </c>
      <c r="O9" s="52" t="s">
        <v>33</v>
      </c>
      <c r="P9" s="49" t="s">
        <v>34</v>
      </c>
      <c r="Q9" s="53">
        <v>2</v>
      </c>
      <c r="R9" s="85">
        <f t="shared" si="1"/>
        <v>1.5</v>
      </c>
    </row>
    <row r="10" spans="1:19" ht="27.95" customHeight="1">
      <c r="A10" s="212"/>
      <c r="B10" s="65"/>
      <c r="C10" s="48" t="s">
        <v>166</v>
      </c>
      <c r="D10" s="49"/>
      <c r="E10" s="50">
        <v>1</v>
      </c>
      <c r="F10" s="51" t="s">
        <v>16</v>
      </c>
      <c r="G10" s="69"/>
      <c r="H10" s="73" t="s">
        <v>166</v>
      </c>
      <c r="I10" s="49"/>
      <c r="J10" s="51">
        <f t="shared" si="0"/>
        <v>0.75</v>
      </c>
      <c r="K10" s="51" t="s">
        <v>16</v>
      </c>
      <c r="L10" s="51"/>
      <c r="M10" s="77" t="e">
        <f>#REF!</f>
        <v>#REF!</v>
      </c>
      <c r="N10" s="65" t="s">
        <v>217</v>
      </c>
      <c r="O10" s="52" t="s">
        <v>49</v>
      </c>
      <c r="P10" s="49"/>
      <c r="Q10" s="53">
        <v>1</v>
      </c>
      <c r="R10" s="85">
        <f t="shared" si="1"/>
        <v>0.75</v>
      </c>
    </row>
    <row r="11" spans="1:19" ht="27.95" customHeight="1">
      <c r="A11" s="212"/>
      <c r="B11" s="65"/>
      <c r="C11" s="48" t="s">
        <v>25</v>
      </c>
      <c r="D11" s="49"/>
      <c r="E11" s="50">
        <v>20</v>
      </c>
      <c r="F11" s="51" t="s">
        <v>16</v>
      </c>
      <c r="G11" s="69"/>
      <c r="H11" s="73" t="s">
        <v>25</v>
      </c>
      <c r="I11" s="49"/>
      <c r="J11" s="51">
        <f t="shared" si="0"/>
        <v>15</v>
      </c>
      <c r="K11" s="51" t="s">
        <v>16</v>
      </c>
      <c r="L11" s="51"/>
      <c r="M11" s="77" t="e">
        <f>ROUND(#REF!+(#REF!*3/100),2)</f>
        <v>#REF!</v>
      </c>
      <c r="N11" s="65" t="s">
        <v>218</v>
      </c>
      <c r="O11" s="52" t="s">
        <v>44</v>
      </c>
      <c r="P11" s="49" t="s">
        <v>34</v>
      </c>
      <c r="Q11" s="53">
        <v>2</v>
      </c>
      <c r="R11" s="85">
        <f t="shared" si="1"/>
        <v>1.5</v>
      </c>
    </row>
    <row r="12" spans="1:19" ht="27.95" customHeight="1">
      <c r="A12" s="212"/>
      <c r="B12" s="65"/>
      <c r="C12" s="48" t="s">
        <v>73</v>
      </c>
      <c r="D12" s="49"/>
      <c r="E12" s="50">
        <v>5</v>
      </c>
      <c r="F12" s="51" t="s">
        <v>16</v>
      </c>
      <c r="G12" s="69"/>
      <c r="H12" s="73" t="s">
        <v>73</v>
      </c>
      <c r="I12" s="49"/>
      <c r="J12" s="51">
        <f t="shared" si="0"/>
        <v>3.75</v>
      </c>
      <c r="K12" s="51" t="s">
        <v>16</v>
      </c>
      <c r="L12" s="51"/>
      <c r="M12" s="77" t="e">
        <f>ROUND(#REF!+(#REF!*2/100),2)</f>
        <v>#REF!</v>
      </c>
      <c r="N12" s="65" t="s">
        <v>47</v>
      </c>
      <c r="O12" s="52" t="s">
        <v>45</v>
      </c>
      <c r="P12" s="49"/>
      <c r="Q12" s="53">
        <v>2</v>
      </c>
      <c r="R12" s="85">
        <f t="shared" si="1"/>
        <v>1.5</v>
      </c>
    </row>
    <row r="13" spans="1:19" ht="27.95" customHeight="1">
      <c r="A13" s="212"/>
      <c r="B13" s="65"/>
      <c r="C13" s="48"/>
      <c r="D13" s="49"/>
      <c r="E13" s="50"/>
      <c r="F13" s="51"/>
      <c r="G13" s="69"/>
      <c r="H13" s="73"/>
      <c r="I13" s="49"/>
      <c r="J13" s="51"/>
      <c r="K13" s="51"/>
      <c r="L13" s="51"/>
      <c r="M13" s="77"/>
      <c r="N13" s="65"/>
      <c r="O13" s="52" t="s">
        <v>18</v>
      </c>
      <c r="P13" s="49"/>
      <c r="Q13" s="53">
        <v>4</v>
      </c>
      <c r="R13" s="85">
        <f t="shared" si="1"/>
        <v>3</v>
      </c>
    </row>
    <row r="14" spans="1:19" ht="27.95" customHeight="1">
      <c r="A14" s="212"/>
      <c r="B14" s="64"/>
      <c r="C14" s="42"/>
      <c r="D14" s="43"/>
      <c r="E14" s="44"/>
      <c r="F14" s="45"/>
      <c r="G14" s="68"/>
      <c r="H14" s="72"/>
      <c r="I14" s="43"/>
      <c r="J14" s="45"/>
      <c r="K14" s="45"/>
      <c r="L14" s="45"/>
      <c r="M14" s="76"/>
      <c r="N14" s="64"/>
      <c r="O14" s="46"/>
      <c r="P14" s="43"/>
      <c r="Q14" s="47"/>
      <c r="R14" s="84"/>
    </row>
    <row r="15" spans="1:19" ht="27.95" customHeight="1">
      <c r="A15" s="212"/>
      <c r="B15" s="65" t="s">
        <v>220</v>
      </c>
      <c r="C15" s="48" t="s">
        <v>36</v>
      </c>
      <c r="D15" s="49"/>
      <c r="E15" s="50">
        <v>30</v>
      </c>
      <c r="F15" s="51" t="s">
        <v>16</v>
      </c>
      <c r="G15" s="69"/>
      <c r="H15" s="73" t="s">
        <v>36</v>
      </c>
      <c r="I15" s="49"/>
      <c r="J15" s="51">
        <f>ROUNDUP(E15*0.75,2)</f>
        <v>22.5</v>
      </c>
      <c r="K15" s="51" t="s">
        <v>16</v>
      </c>
      <c r="L15" s="51"/>
      <c r="M15" s="77" t="e">
        <f>ROUND(#REF!+(#REF!*15/100),2)</f>
        <v>#REF!</v>
      </c>
      <c r="N15" s="65" t="s">
        <v>269</v>
      </c>
      <c r="O15" s="52" t="s">
        <v>18</v>
      </c>
      <c r="P15" s="49"/>
      <c r="Q15" s="53">
        <v>1.5</v>
      </c>
      <c r="R15" s="85">
        <f>ROUNDUP(Q15*0.75,2)</f>
        <v>1.1300000000000001</v>
      </c>
    </row>
    <row r="16" spans="1:19" ht="27.95" customHeight="1">
      <c r="A16" s="212"/>
      <c r="B16" s="65"/>
      <c r="C16" s="48" t="s">
        <v>29</v>
      </c>
      <c r="D16" s="49"/>
      <c r="E16" s="50">
        <v>10</v>
      </c>
      <c r="F16" s="51" t="s">
        <v>16</v>
      </c>
      <c r="G16" s="69"/>
      <c r="H16" s="73" t="s">
        <v>29</v>
      </c>
      <c r="I16" s="49"/>
      <c r="J16" s="51">
        <f>ROUNDUP(E16*0.75,2)</f>
        <v>7.5</v>
      </c>
      <c r="K16" s="51" t="s">
        <v>16</v>
      </c>
      <c r="L16" s="51"/>
      <c r="M16" s="77" t="e">
        <f>ROUND(#REF!+(#REF!*10/100),2)</f>
        <v>#REF!</v>
      </c>
      <c r="N16" s="65" t="s">
        <v>47</v>
      </c>
      <c r="O16" s="52" t="s">
        <v>31</v>
      </c>
      <c r="P16" s="49"/>
      <c r="Q16" s="53">
        <v>10</v>
      </c>
      <c r="R16" s="85">
        <f>ROUNDUP(Q16*0.75,2)</f>
        <v>7.5</v>
      </c>
    </row>
    <row r="17" spans="1:18" ht="27.95" customHeight="1">
      <c r="A17" s="212"/>
      <c r="B17" s="65"/>
      <c r="C17" s="48" t="s">
        <v>146</v>
      </c>
      <c r="D17" s="49"/>
      <c r="E17" s="50">
        <v>10</v>
      </c>
      <c r="F17" s="51" t="s">
        <v>16</v>
      </c>
      <c r="G17" s="69"/>
      <c r="H17" s="73" t="s">
        <v>146</v>
      </c>
      <c r="I17" s="49"/>
      <c r="J17" s="51">
        <f>ROUNDUP(E17*0.75,2)</f>
        <v>7.5</v>
      </c>
      <c r="K17" s="51" t="s">
        <v>16</v>
      </c>
      <c r="L17" s="51"/>
      <c r="M17" s="77" t="e">
        <f>#REF!</f>
        <v>#REF!</v>
      </c>
      <c r="N17" s="65" t="s">
        <v>163</v>
      </c>
      <c r="O17" s="52" t="s">
        <v>52</v>
      </c>
      <c r="P17" s="49"/>
      <c r="Q17" s="53">
        <v>1</v>
      </c>
      <c r="R17" s="85">
        <f>ROUNDUP(Q17*0.75,2)</f>
        <v>0.75</v>
      </c>
    </row>
    <row r="18" spans="1:18" ht="27.95" customHeight="1">
      <c r="A18" s="212"/>
      <c r="B18" s="65"/>
      <c r="C18" s="48"/>
      <c r="D18" s="49"/>
      <c r="E18" s="50"/>
      <c r="F18" s="51"/>
      <c r="G18" s="69"/>
      <c r="H18" s="73"/>
      <c r="I18" s="49"/>
      <c r="J18" s="51"/>
      <c r="K18" s="51"/>
      <c r="L18" s="51"/>
      <c r="M18" s="77"/>
      <c r="N18" s="65"/>
      <c r="O18" s="52" t="s">
        <v>32</v>
      </c>
      <c r="P18" s="49"/>
      <c r="Q18" s="53">
        <v>0.5</v>
      </c>
      <c r="R18" s="85">
        <f>ROUNDUP(Q18*0.75,2)</f>
        <v>0.38</v>
      </c>
    </row>
    <row r="19" spans="1:18" ht="27.95" customHeight="1">
      <c r="A19" s="212"/>
      <c r="B19" s="65"/>
      <c r="C19" s="48"/>
      <c r="D19" s="49"/>
      <c r="E19" s="50"/>
      <c r="F19" s="51"/>
      <c r="G19" s="69"/>
      <c r="H19" s="73"/>
      <c r="I19" s="49"/>
      <c r="J19" s="51"/>
      <c r="K19" s="51"/>
      <c r="L19" s="51"/>
      <c r="M19" s="77"/>
      <c r="N19" s="65"/>
      <c r="O19" s="52" t="s">
        <v>33</v>
      </c>
      <c r="P19" s="49" t="s">
        <v>34</v>
      </c>
      <c r="Q19" s="53">
        <v>1.5</v>
      </c>
      <c r="R19" s="85">
        <f>ROUNDUP(Q19*0.75,2)</f>
        <v>1.1300000000000001</v>
      </c>
    </row>
    <row r="20" spans="1:18" ht="27.95" customHeight="1">
      <c r="A20" s="212"/>
      <c r="B20" s="64"/>
      <c r="C20" s="42"/>
      <c r="D20" s="43"/>
      <c r="E20" s="44"/>
      <c r="F20" s="45"/>
      <c r="G20" s="68"/>
      <c r="H20" s="72"/>
      <c r="I20" s="43"/>
      <c r="J20" s="45"/>
      <c r="K20" s="45"/>
      <c r="L20" s="45"/>
      <c r="M20" s="76"/>
      <c r="N20" s="64"/>
      <c r="O20" s="46"/>
      <c r="P20" s="43"/>
      <c r="Q20" s="47"/>
      <c r="R20" s="84"/>
    </row>
    <row r="21" spans="1:18" ht="27.95" customHeight="1">
      <c r="A21" s="212"/>
      <c r="B21" s="65" t="s">
        <v>55</v>
      </c>
      <c r="C21" s="48" t="s">
        <v>21</v>
      </c>
      <c r="D21" s="49" t="s">
        <v>22</v>
      </c>
      <c r="E21" s="61">
        <v>0.25</v>
      </c>
      <c r="F21" s="51" t="s">
        <v>23</v>
      </c>
      <c r="G21" s="69"/>
      <c r="H21" s="73" t="s">
        <v>21</v>
      </c>
      <c r="I21" s="49" t="s">
        <v>22</v>
      </c>
      <c r="J21" s="51">
        <f>ROUNDUP(E21*0.75,2)</f>
        <v>0.19</v>
      </c>
      <c r="K21" s="51" t="s">
        <v>23</v>
      </c>
      <c r="L21" s="51"/>
      <c r="M21" s="77" t="e">
        <f>#REF!</f>
        <v>#REF!</v>
      </c>
      <c r="N21" s="65" t="s">
        <v>14</v>
      </c>
      <c r="O21" s="52" t="s">
        <v>31</v>
      </c>
      <c r="P21" s="49"/>
      <c r="Q21" s="53">
        <v>100</v>
      </c>
      <c r="R21" s="85">
        <f>ROUNDUP(Q21*0.75,2)</f>
        <v>75</v>
      </c>
    </row>
    <row r="22" spans="1:18" ht="27.95" customHeight="1">
      <c r="A22" s="212"/>
      <c r="B22" s="65"/>
      <c r="C22" s="48" t="s">
        <v>37</v>
      </c>
      <c r="D22" s="49"/>
      <c r="E22" s="50">
        <v>2</v>
      </c>
      <c r="F22" s="51" t="s">
        <v>16</v>
      </c>
      <c r="G22" s="69"/>
      <c r="H22" s="73" t="s">
        <v>37</v>
      </c>
      <c r="I22" s="49"/>
      <c r="J22" s="51">
        <f>ROUNDUP(E22*0.75,2)</f>
        <v>1.5</v>
      </c>
      <c r="K22" s="51" t="s">
        <v>16</v>
      </c>
      <c r="L22" s="51"/>
      <c r="M22" s="77" t="e">
        <f>ROUND(#REF!+(#REF!*10/100),2)</f>
        <v>#REF!</v>
      </c>
      <c r="N22" s="65"/>
      <c r="O22" s="52" t="s">
        <v>57</v>
      </c>
      <c r="P22" s="49"/>
      <c r="Q22" s="53">
        <v>3</v>
      </c>
      <c r="R22" s="85">
        <f>ROUNDUP(Q22*0.75,2)</f>
        <v>2.25</v>
      </c>
    </row>
    <row r="23" spans="1:18" ht="27.95" customHeight="1" thickBot="1">
      <c r="A23" s="213"/>
      <c r="B23" s="66"/>
      <c r="C23" s="55"/>
      <c r="D23" s="56"/>
      <c r="E23" s="57"/>
      <c r="F23" s="58"/>
      <c r="G23" s="70"/>
      <c r="H23" s="74"/>
      <c r="I23" s="56"/>
      <c r="J23" s="58"/>
      <c r="K23" s="58"/>
      <c r="L23" s="58"/>
      <c r="M23" s="78"/>
      <c r="N23" s="66"/>
      <c r="O23" s="59"/>
      <c r="P23" s="56"/>
      <c r="Q23" s="60"/>
      <c r="R23" s="87"/>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c r="A1" s="1" t="s">
        <v>12</v>
      </c>
      <c r="B1" s="1"/>
      <c r="C1" s="2"/>
      <c r="D1" s="3"/>
      <c r="E1" s="2"/>
      <c r="F1" s="2"/>
      <c r="G1" s="2"/>
      <c r="H1" s="207"/>
      <c r="I1" s="207"/>
      <c r="J1" s="208"/>
      <c r="K1" s="208"/>
      <c r="L1" s="208"/>
      <c r="M1" s="208"/>
      <c r="N1" s="208"/>
      <c r="O1" s="2"/>
      <c r="P1" s="2"/>
      <c r="Q1" s="4"/>
      <c r="R1" s="4"/>
      <c r="S1" s="3"/>
    </row>
    <row r="2" spans="1:26" ht="36.75" customHeight="1">
      <c r="A2" s="207" t="s">
        <v>0</v>
      </c>
      <c r="B2" s="207"/>
      <c r="C2" s="208"/>
      <c r="D2" s="208"/>
      <c r="E2" s="208"/>
      <c r="F2" s="208"/>
      <c r="G2" s="208"/>
      <c r="H2" s="208"/>
      <c r="I2" s="208"/>
      <c r="J2" s="208"/>
      <c r="K2" s="208"/>
      <c r="L2" s="208"/>
      <c r="M2" s="208"/>
      <c r="N2" s="208"/>
      <c r="O2" s="208"/>
      <c r="P2" s="208"/>
      <c r="Q2" s="208"/>
      <c r="R2" s="208"/>
      <c r="S2" s="3"/>
    </row>
    <row r="3" spans="1:26" ht="22.5" customHeight="1">
      <c r="A3" s="5"/>
      <c r="B3" s="214" t="s">
        <v>264</v>
      </c>
      <c r="C3" s="214"/>
      <c r="D3" s="3"/>
      <c r="E3" s="6"/>
      <c r="F3" s="2"/>
      <c r="G3" s="2"/>
      <c r="H3" s="2"/>
      <c r="I3" s="3"/>
      <c r="J3" s="2"/>
      <c r="K3" s="7"/>
      <c r="L3" s="7"/>
      <c r="M3" s="8"/>
      <c r="N3" s="3"/>
      <c r="O3"/>
      <c r="P3"/>
      <c r="Q3"/>
      <c r="R3"/>
      <c r="S3"/>
      <c r="T3" s="3"/>
      <c r="U3" s="3"/>
      <c r="V3" s="3"/>
      <c r="W3" s="3"/>
      <c r="X3" s="3"/>
      <c r="Y3" s="3"/>
      <c r="Z3" s="3"/>
    </row>
    <row r="4" spans="1:26" ht="22.5" customHeight="1">
      <c r="A4" s="5"/>
      <c r="B4" s="214"/>
      <c r="C4" s="214"/>
      <c r="D4" s="9"/>
      <c r="E4" s="6"/>
      <c r="F4" s="2"/>
      <c r="G4" s="2"/>
      <c r="H4" s="2"/>
      <c r="I4" s="9"/>
      <c r="J4" s="2"/>
      <c r="K4" s="7"/>
      <c r="L4" s="7"/>
      <c r="M4" s="8"/>
      <c r="N4" s="89" t="s">
        <v>263</v>
      </c>
      <c r="O4"/>
      <c r="P4"/>
      <c r="Q4"/>
      <c r="R4"/>
      <c r="S4"/>
      <c r="T4" s="3"/>
      <c r="U4" s="3"/>
      <c r="V4" s="3"/>
      <c r="W4" s="3"/>
      <c r="X4" s="3"/>
      <c r="Y4" s="3"/>
      <c r="Z4" s="3"/>
    </row>
    <row r="5" spans="1:26" ht="27.75" customHeight="1" thickBot="1">
      <c r="A5" s="209" t="s">
        <v>91</v>
      </c>
      <c r="B5" s="210"/>
      <c r="C5" s="210"/>
      <c r="D5" s="210"/>
      <c r="E5" s="210"/>
      <c r="F5" s="210"/>
      <c r="G5" s="2"/>
      <c r="H5" s="2"/>
      <c r="I5" s="12"/>
      <c r="J5" s="2"/>
      <c r="K5" s="7"/>
      <c r="L5" s="7"/>
      <c r="M5" s="10"/>
      <c r="N5" s="2"/>
      <c r="O5" s="13"/>
      <c r="P5" s="12"/>
      <c r="Q5" s="14"/>
      <c r="R5" s="14"/>
      <c r="S5" s="11"/>
    </row>
    <row r="6" spans="1:26" customFormat="1" ht="42" customHeight="1" thickBot="1">
      <c r="A6" s="15"/>
      <c r="B6" s="16" t="s">
        <v>1</v>
      </c>
      <c r="C6" s="17" t="s">
        <v>2</v>
      </c>
      <c r="D6" s="18" t="s">
        <v>272</v>
      </c>
      <c r="E6" s="34" t="s">
        <v>6</v>
      </c>
      <c r="F6" s="19" t="s">
        <v>4</v>
      </c>
      <c r="G6" s="17" t="s">
        <v>5</v>
      </c>
      <c r="H6" s="16" t="s">
        <v>2</v>
      </c>
      <c r="I6" s="18" t="s">
        <v>272</v>
      </c>
      <c r="J6" s="35" t="s">
        <v>3</v>
      </c>
      <c r="K6" s="19" t="s">
        <v>4</v>
      </c>
      <c r="L6" s="19" t="s">
        <v>5</v>
      </c>
      <c r="M6" s="21" t="s">
        <v>7</v>
      </c>
      <c r="N6" s="22" t="s">
        <v>8</v>
      </c>
      <c r="O6" s="19" t="s">
        <v>9</v>
      </c>
      <c r="P6" s="23" t="s">
        <v>272</v>
      </c>
      <c r="Q6" s="20" t="s">
        <v>11</v>
      </c>
      <c r="R6" s="24" t="s">
        <v>10</v>
      </c>
      <c r="S6" s="25"/>
    </row>
    <row r="7" spans="1:26" ht="23.1" customHeight="1">
      <c r="A7" s="211" t="s">
        <v>38</v>
      </c>
      <c r="B7" s="63" t="s">
        <v>92</v>
      </c>
      <c r="C7" s="36" t="s">
        <v>97</v>
      </c>
      <c r="D7" s="37"/>
      <c r="E7" s="38">
        <v>1</v>
      </c>
      <c r="F7" s="39" t="s">
        <v>98</v>
      </c>
      <c r="G7" s="67"/>
      <c r="H7" s="71" t="s">
        <v>97</v>
      </c>
      <c r="I7" s="37"/>
      <c r="J7" s="39">
        <f>ROUNDUP(E7*0.75,2)</f>
        <v>0.75</v>
      </c>
      <c r="K7" s="39" t="s">
        <v>98</v>
      </c>
      <c r="L7" s="39"/>
      <c r="M7" s="75" t="e">
        <f>#REF!</f>
        <v>#REF!</v>
      </c>
      <c r="N7" s="63" t="s">
        <v>93</v>
      </c>
      <c r="O7" s="40" t="s">
        <v>13</v>
      </c>
      <c r="P7" s="37"/>
      <c r="Q7" s="41">
        <v>110</v>
      </c>
      <c r="R7" s="83">
        <f t="shared" ref="R7:R15" si="0">ROUNDUP(Q7*0.75,2)</f>
        <v>82.5</v>
      </c>
    </row>
    <row r="8" spans="1:26" ht="23.1" customHeight="1">
      <c r="A8" s="212"/>
      <c r="B8" s="65"/>
      <c r="C8" s="48" t="s">
        <v>99</v>
      </c>
      <c r="D8" s="49" t="s">
        <v>22</v>
      </c>
      <c r="E8" s="62">
        <v>0.16666666666666666</v>
      </c>
      <c r="F8" s="51" t="s">
        <v>28</v>
      </c>
      <c r="G8" s="69"/>
      <c r="H8" s="73" t="s">
        <v>99</v>
      </c>
      <c r="I8" s="49" t="s">
        <v>22</v>
      </c>
      <c r="J8" s="51">
        <f>ROUNDUP(E8*0.75,2)</f>
        <v>0.13</v>
      </c>
      <c r="K8" s="51" t="s">
        <v>28</v>
      </c>
      <c r="L8" s="51"/>
      <c r="M8" s="77" t="e">
        <f>#REF!</f>
        <v>#REF!</v>
      </c>
      <c r="N8" s="65" t="s">
        <v>94</v>
      </c>
      <c r="O8" s="52" t="s">
        <v>75</v>
      </c>
      <c r="P8" s="49"/>
      <c r="Q8" s="53">
        <v>4</v>
      </c>
      <c r="R8" s="85">
        <f t="shared" si="0"/>
        <v>3</v>
      </c>
    </row>
    <row r="9" spans="1:26" ht="23.1" customHeight="1">
      <c r="A9" s="212"/>
      <c r="B9" s="65"/>
      <c r="C9" s="48" t="s">
        <v>100</v>
      </c>
      <c r="D9" s="49"/>
      <c r="E9" s="50">
        <v>1</v>
      </c>
      <c r="F9" s="51" t="s">
        <v>16</v>
      </c>
      <c r="G9" s="69"/>
      <c r="H9" s="73" t="s">
        <v>100</v>
      </c>
      <c r="I9" s="49"/>
      <c r="J9" s="51">
        <f>ROUNDUP(E9*0.75,2)</f>
        <v>0.75</v>
      </c>
      <c r="K9" s="51" t="s">
        <v>16</v>
      </c>
      <c r="L9" s="51"/>
      <c r="M9" s="77" t="e">
        <f>#REF!</f>
        <v>#REF!</v>
      </c>
      <c r="N9" s="65" t="s">
        <v>260</v>
      </c>
      <c r="O9" s="52" t="s">
        <v>32</v>
      </c>
      <c r="P9" s="49"/>
      <c r="Q9" s="53">
        <v>2</v>
      </c>
      <c r="R9" s="85">
        <f t="shared" si="0"/>
        <v>1.5</v>
      </c>
    </row>
    <row r="10" spans="1:26" ht="23.1" customHeight="1">
      <c r="A10" s="212"/>
      <c r="B10" s="65"/>
      <c r="C10" s="48" t="s">
        <v>29</v>
      </c>
      <c r="D10" s="49"/>
      <c r="E10" s="50">
        <v>5</v>
      </c>
      <c r="F10" s="51" t="s">
        <v>16</v>
      </c>
      <c r="G10" s="69"/>
      <c r="H10" s="73" t="s">
        <v>29</v>
      </c>
      <c r="I10" s="49"/>
      <c r="J10" s="51">
        <f>ROUNDUP(E10*0.75,2)</f>
        <v>3.75</v>
      </c>
      <c r="K10" s="51" t="s">
        <v>16</v>
      </c>
      <c r="L10" s="51"/>
      <c r="M10" s="77" t="e">
        <f>ROUND(#REF!+(#REF!*10/100),2)</f>
        <v>#REF!</v>
      </c>
      <c r="N10" s="65" t="s">
        <v>261</v>
      </c>
      <c r="O10" s="52" t="s">
        <v>19</v>
      </c>
      <c r="P10" s="49"/>
      <c r="Q10" s="53">
        <v>0.3</v>
      </c>
      <c r="R10" s="85">
        <f t="shared" si="0"/>
        <v>0.23</v>
      </c>
    </row>
    <row r="11" spans="1:26" ht="23.1" customHeight="1">
      <c r="A11" s="212"/>
      <c r="B11" s="65"/>
      <c r="C11" s="48" t="s">
        <v>73</v>
      </c>
      <c r="D11" s="49"/>
      <c r="E11" s="50">
        <v>5</v>
      </c>
      <c r="F11" s="51" t="s">
        <v>16</v>
      </c>
      <c r="G11" s="69"/>
      <c r="H11" s="73" t="s">
        <v>73</v>
      </c>
      <c r="I11" s="49"/>
      <c r="J11" s="51">
        <f>ROUNDUP(E11*0.75,2)</f>
        <v>3.75</v>
      </c>
      <c r="K11" s="51" t="s">
        <v>16</v>
      </c>
      <c r="L11" s="51"/>
      <c r="M11" s="77" t="e">
        <f>ROUND(#REF!+(#REF!*2/100),2)</f>
        <v>#REF!</v>
      </c>
      <c r="N11" s="65" t="s">
        <v>95</v>
      </c>
      <c r="O11" s="52" t="s">
        <v>31</v>
      </c>
      <c r="P11" s="49"/>
      <c r="Q11" s="53">
        <v>20</v>
      </c>
      <c r="R11" s="85">
        <f t="shared" si="0"/>
        <v>15</v>
      </c>
    </row>
    <row r="12" spans="1:26" ht="23.1" customHeight="1">
      <c r="A12" s="212"/>
      <c r="B12" s="65"/>
      <c r="C12" s="48"/>
      <c r="D12" s="49"/>
      <c r="E12" s="50"/>
      <c r="F12" s="51"/>
      <c r="G12" s="69"/>
      <c r="H12" s="73"/>
      <c r="I12" s="49"/>
      <c r="J12" s="51"/>
      <c r="K12" s="51"/>
      <c r="L12" s="51"/>
      <c r="M12" s="77"/>
      <c r="N12" s="65" t="s">
        <v>259</v>
      </c>
      <c r="O12" s="52" t="s">
        <v>32</v>
      </c>
      <c r="P12" s="49"/>
      <c r="Q12" s="53">
        <v>0.3</v>
      </c>
      <c r="R12" s="85">
        <f t="shared" si="0"/>
        <v>0.23</v>
      </c>
    </row>
    <row r="13" spans="1:26" ht="23.1" customHeight="1">
      <c r="A13" s="212"/>
      <c r="B13" s="65"/>
      <c r="C13" s="48"/>
      <c r="D13" s="49"/>
      <c r="E13" s="50"/>
      <c r="F13" s="51"/>
      <c r="G13" s="69"/>
      <c r="H13" s="73"/>
      <c r="I13" s="49"/>
      <c r="J13" s="51"/>
      <c r="K13" s="51"/>
      <c r="L13" s="51"/>
      <c r="M13" s="77"/>
      <c r="N13" s="65" t="s">
        <v>240</v>
      </c>
      <c r="O13" s="52" t="s">
        <v>49</v>
      </c>
      <c r="P13" s="49"/>
      <c r="Q13" s="53">
        <v>1</v>
      </c>
      <c r="R13" s="85">
        <f t="shared" si="0"/>
        <v>0.75</v>
      </c>
      <c r="T13" s="3"/>
    </row>
    <row r="14" spans="1:26" ht="23.1" customHeight="1">
      <c r="A14" s="212"/>
      <c r="B14" s="65"/>
      <c r="C14" s="48"/>
      <c r="D14" s="49"/>
      <c r="E14" s="50"/>
      <c r="F14" s="51"/>
      <c r="G14" s="69"/>
      <c r="H14" s="73"/>
      <c r="I14" s="49"/>
      <c r="J14" s="51"/>
      <c r="K14" s="51"/>
      <c r="L14" s="51"/>
      <c r="M14" s="77"/>
      <c r="N14" s="86" t="s">
        <v>258</v>
      </c>
      <c r="O14" s="52" t="s">
        <v>33</v>
      </c>
      <c r="P14" s="49" t="s">
        <v>34</v>
      </c>
      <c r="Q14" s="53">
        <v>1.5</v>
      </c>
      <c r="R14" s="85">
        <f t="shared" si="0"/>
        <v>1.1300000000000001</v>
      </c>
    </row>
    <row r="15" spans="1:26" ht="23.1" customHeight="1">
      <c r="A15" s="212"/>
      <c r="B15" s="65"/>
      <c r="C15" s="48"/>
      <c r="D15" s="49"/>
      <c r="E15" s="50"/>
      <c r="F15" s="51"/>
      <c r="G15" s="69"/>
      <c r="H15" s="73"/>
      <c r="I15" s="49"/>
      <c r="J15" s="51"/>
      <c r="K15" s="51"/>
      <c r="L15" s="51"/>
      <c r="M15" s="77"/>
      <c r="N15" s="65" t="s">
        <v>241</v>
      </c>
      <c r="O15" s="52" t="s">
        <v>52</v>
      </c>
      <c r="P15" s="49"/>
      <c r="Q15" s="53">
        <v>1.5</v>
      </c>
      <c r="R15" s="85">
        <f t="shared" si="0"/>
        <v>1.1300000000000001</v>
      </c>
    </row>
    <row r="16" spans="1:26" ht="23.1" customHeight="1">
      <c r="A16" s="212"/>
      <c r="B16" s="65"/>
      <c r="C16" s="48"/>
      <c r="D16" s="49"/>
      <c r="E16" s="50"/>
      <c r="F16" s="51"/>
      <c r="G16" s="69"/>
      <c r="H16" s="73"/>
      <c r="I16" s="49"/>
      <c r="J16" s="51"/>
      <c r="K16" s="51"/>
      <c r="L16" s="51"/>
      <c r="M16" s="77"/>
      <c r="N16" s="65" t="s">
        <v>96</v>
      </c>
      <c r="O16" s="52"/>
      <c r="P16" s="49"/>
      <c r="Q16" s="53"/>
      <c r="R16" s="85"/>
    </row>
    <row r="17" spans="1:18" ht="23.1" customHeight="1">
      <c r="A17" s="212"/>
      <c r="B17" s="64"/>
      <c r="C17" s="42"/>
      <c r="D17" s="43"/>
      <c r="E17" s="44"/>
      <c r="F17" s="45"/>
      <c r="G17" s="68"/>
      <c r="H17" s="72"/>
      <c r="I17" s="43"/>
      <c r="J17" s="45"/>
      <c r="K17" s="45"/>
      <c r="L17" s="45"/>
      <c r="M17" s="76"/>
      <c r="N17" s="64" t="s">
        <v>14</v>
      </c>
      <c r="O17" s="46"/>
      <c r="P17" s="43"/>
      <c r="Q17" s="47"/>
      <c r="R17" s="84"/>
    </row>
    <row r="18" spans="1:18" ht="23.1" customHeight="1">
      <c r="A18" s="212"/>
      <c r="B18" s="65" t="s">
        <v>101</v>
      </c>
      <c r="C18" s="48" t="s">
        <v>36</v>
      </c>
      <c r="D18" s="49"/>
      <c r="E18" s="50">
        <v>40</v>
      </c>
      <c r="F18" s="51" t="s">
        <v>16</v>
      </c>
      <c r="G18" s="69"/>
      <c r="H18" s="73" t="s">
        <v>36</v>
      </c>
      <c r="I18" s="49"/>
      <c r="J18" s="51">
        <f>ROUNDUP(E18*0.75,2)</f>
        <v>30</v>
      </c>
      <c r="K18" s="51" t="s">
        <v>16</v>
      </c>
      <c r="L18" s="51"/>
      <c r="M18" s="77" t="e">
        <f>ROUND(#REF!+(#REF!*15/100),2)</f>
        <v>#REF!</v>
      </c>
      <c r="N18" s="65" t="s">
        <v>102</v>
      </c>
      <c r="O18" s="52" t="s">
        <v>18</v>
      </c>
      <c r="P18" s="49"/>
      <c r="Q18" s="53">
        <v>1</v>
      </c>
      <c r="R18" s="85">
        <f>ROUNDUP(Q18*0.75,2)</f>
        <v>0.75</v>
      </c>
    </row>
    <row r="19" spans="1:18" ht="23.1" customHeight="1">
      <c r="A19" s="212"/>
      <c r="B19" s="65"/>
      <c r="C19" s="48" t="s">
        <v>105</v>
      </c>
      <c r="D19" s="49"/>
      <c r="E19" s="50">
        <v>20</v>
      </c>
      <c r="F19" s="51" t="s">
        <v>16</v>
      </c>
      <c r="G19" s="69"/>
      <c r="H19" s="73" t="s">
        <v>105</v>
      </c>
      <c r="I19" s="49"/>
      <c r="J19" s="51">
        <f>ROUNDUP(E19*0.75,2)</f>
        <v>15</v>
      </c>
      <c r="K19" s="51" t="s">
        <v>16</v>
      </c>
      <c r="L19" s="51"/>
      <c r="M19" s="77" t="e">
        <f>#REF!</f>
        <v>#REF!</v>
      </c>
      <c r="N19" s="65" t="s">
        <v>103</v>
      </c>
      <c r="O19" s="52" t="s">
        <v>31</v>
      </c>
      <c r="P19" s="49"/>
      <c r="Q19" s="53">
        <v>40</v>
      </c>
      <c r="R19" s="85">
        <f>ROUNDUP(Q19*0.75,2)</f>
        <v>30</v>
      </c>
    </row>
    <row r="20" spans="1:18" ht="23.1" customHeight="1">
      <c r="A20" s="212"/>
      <c r="B20" s="65"/>
      <c r="C20" s="48" t="s">
        <v>37</v>
      </c>
      <c r="D20" s="49"/>
      <c r="E20" s="50">
        <v>2</v>
      </c>
      <c r="F20" s="51" t="s">
        <v>16</v>
      </c>
      <c r="G20" s="69"/>
      <c r="H20" s="73" t="s">
        <v>37</v>
      </c>
      <c r="I20" s="49"/>
      <c r="J20" s="51">
        <f>ROUNDUP(E20*0.75,2)</f>
        <v>1.5</v>
      </c>
      <c r="K20" s="51" t="s">
        <v>16</v>
      </c>
      <c r="L20" s="51"/>
      <c r="M20" s="77" t="e">
        <f>ROUND(#REF!+(#REF!*10/100),2)</f>
        <v>#REF!</v>
      </c>
      <c r="N20" s="65" t="s">
        <v>104</v>
      </c>
      <c r="O20" s="52" t="s">
        <v>52</v>
      </c>
      <c r="P20" s="49"/>
      <c r="Q20" s="53">
        <v>4</v>
      </c>
      <c r="R20" s="85">
        <f>ROUNDUP(Q20*0.75,2)</f>
        <v>3</v>
      </c>
    </row>
    <row r="21" spans="1:18" ht="23.1" customHeight="1">
      <c r="A21" s="212"/>
      <c r="B21" s="65"/>
      <c r="C21" s="48"/>
      <c r="D21" s="49"/>
      <c r="E21" s="50"/>
      <c r="F21" s="51"/>
      <c r="G21" s="69"/>
      <c r="H21" s="73"/>
      <c r="I21" s="49"/>
      <c r="J21" s="51"/>
      <c r="K21" s="51"/>
      <c r="L21" s="51"/>
      <c r="M21" s="77"/>
      <c r="N21" s="65" t="s">
        <v>14</v>
      </c>
      <c r="O21" s="52" t="s">
        <v>33</v>
      </c>
      <c r="P21" s="49" t="s">
        <v>34</v>
      </c>
      <c r="Q21" s="53">
        <v>2</v>
      </c>
      <c r="R21" s="85">
        <f>ROUNDUP(Q21*0.75,2)</f>
        <v>1.5</v>
      </c>
    </row>
    <row r="22" spans="1:18" ht="23.1" customHeight="1">
      <c r="A22" s="212"/>
      <c r="B22" s="65"/>
      <c r="C22" s="48"/>
      <c r="D22" s="49"/>
      <c r="E22" s="50"/>
      <c r="F22" s="51"/>
      <c r="G22" s="69"/>
      <c r="H22" s="73"/>
      <c r="I22" s="49"/>
      <c r="J22" s="51"/>
      <c r="K22" s="51"/>
      <c r="L22" s="51"/>
      <c r="M22" s="77"/>
      <c r="N22" s="65" t="s">
        <v>268</v>
      </c>
      <c r="O22" s="52" t="s">
        <v>45</v>
      </c>
      <c r="P22" s="49"/>
      <c r="Q22" s="53">
        <v>1</v>
      </c>
      <c r="R22" s="85">
        <f>ROUNDUP(Q22*0.75,2)</f>
        <v>0.75</v>
      </c>
    </row>
    <row r="23" spans="1:18" ht="23.1" customHeight="1">
      <c r="A23" s="212"/>
      <c r="B23" s="64"/>
      <c r="C23" s="42"/>
      <c r="D23" s="43"/>
      <c r="E23" s="44"/>
      <c r="F23" s="45"/>
      <c r="G23" s="68"/>
      <c r="H23" s="72"/>
      <c r="I23" s="43"/>
      <c r="J23" s="45"/>
      <c r="K23" s="45"/>
      <c r="L23" s="45"/>
      <c r="M23" s="76"/>
      <c r="N23" s="64"/>
      <c r="O23" s="46"/>
      <c r="P23" s="43"/>
      <c r="Q23" s="47"/>
      <c r="R23" s="84"/>
    </row>
    <row r="24" spans="1:18" ht="23.1" customHeight="1">
      <c r="A24" s="212"/>
      <c r="B24" s="65" t="s">
        <v>35</v>
      </c>
      <c r="C24" s="48" t="s">
        <v>106</v>
      </c>
      <c r="D24" s="49" t="s">
        <v>34</v>
      </c>
      <c r="E24" s="50">
        <v>2</v>
      </c>
      <c r="F24" s="51" t="s">
        <v>98</v>
      </c>
      <c r="G24" s="69"/>
      <c r="H24" s="73" t="s">
        <v>106</v>
      </c>
      <c r="I24" s="49" t="s">
        <v>34</v>
      </c>
      <c r="J24" s="51">
        <f>ROUNDUP(E24*0.75,2)</f>
        <v>1.5</v>
      </c>
      <c r="K24" s="51" t="s">
        <v>98</v>
      </c>
      <c r="L24" s="51"/>
      <c r="M24" s="77" t="e">
        <f>#REF!</f>
        <v>#REF!</v>
      </c>
      <c r="N24" s="65" t="s">
        <v>14</v>
      </c>
      <c r="O24" s="52" t="s">
        <v>31</v>
      </c>
      <c r="P24" s="49"/>
      <c r="Q24" s="53">
        <v>100</v>
      </c>
      <c r="R24" s="85">
        <f>ROUNDUP(Q24*0.75,2)</f>
        <v>75</v>
      </c>
    </row>
    <row r="25" spans="1:18" ht="23.1" customHeight="1">
      <c r="A25" s="212"/>
      <c r="B25" s="65"/>
      <c r="C25" s="48" t="s">
        <v>107</v>
      </c>
      <c r="D25" s="49"/>
      <c r="E25" s="50">
        <v>5</v>
      </c>
      <c r="F25" s="51" t="s">
        <v>16</v>
      </c>
      <c r="G25" s="69"/>
      <c r="H25" s="73" t="s">
        <v>107</v>
      </c>
      <c r="I25" s="49"/>
      <c r="J25" s="51">
        <f>ROUNDUP(E25*0.75,2)</f>
        <v>3.75</v>
      </c>
      <c r="K25" s="51" t="s">
        <v>16</v>
      </c>
      <c r="L25" s="51"/>
      <c r="M25" s="77" t="e">
        <f>ROUND(#REF!+(#REF!*0/100),2)</f>
        <v>#REF!</v>
      </c>
      <c r="N25" s="65"/>
      <c r="O25" s="52" t="s">
        <v>19</v>
      </c>
      <c r="P25" s="49"/>
      <c r="Q25" s="53">
        <v>0.1</v>
      </c>
      <c r="R25" s="85">
        <f>ROUNDUP(Q25*0.75,2)</f>
        <v>0.08</v>
      </c>
    </row>
    <row r="26" spans="1:18" ht="23.1" customHeight="1">
      <c r="A26" s="212"/>
      <c r="B26" s="65"/>
      <c r="C26" s="48"/>
      <c r="D26" s="49"/>
      <c r="E26" s="50"/>
      <c r="F26" s="51"/>
      <c r="G26" s="69"/>
      <c r="H26" s="73"/>
      <c r="I26" s="49"/>
      <c r="J26" s="51"/>
      <c r="K26" s="51"/>
      <c r="L26" s="51"/>
      <c r="M26" s="77"/>
      <c r="N26" s="65"/>
      <c r="O26" s="52" t="s">
        <v>33</v>
      </c>
      <c r="P26" s="49" t="s">
        <v>34</v>
      </c>
      <c r="Q26" s="53">
        <v>0.5</v>
      </c>
      <c r="R26" s="85">
        <f>ROUNDUP(Q26*0.75,2)</f>
        <v>0.38</v>
      </c>
    </row>
    <row r="27" spans="1:18" ht="23.1" customHeight="1">
      <c r="A27" s="212"/>
      <c r="B27" s="64"/>
      <c r="C27" s="42"/>
      <c r="D27" s="43"/>
      <c r="E27" s="44"/>
      <c r="F27" s="45"/>
      <c r="G27" s="68"/>
      <c r="H27" s="72"/>
      <c r="I27" s="43"/>
      <c r="J27" s="45"/>
      <c r="K27" s="45"/>
      <c r="L27" s="45"/>
      <c r="M27" s="76"/>
      <c r="N27" s="64"/>
      <c r="O27" s="46"/>
      <c r="P27" s="43"/>
      <c r="Q27" s="47"/>
      <c r="R27" s="84"/>
    </row>
    <row r="28" spans="1:18" ht="23.1" customHeight="1">
      <c r="A28" s="212"/>
      <c r="B28" s="65" t="s">
        <v>108</v>
      </c>
      <c r="C28" s="48" t="s">
        <v>109</v>
      </c>
      <c r="D28" s="49"/>
      <c r="E28" s="79">
        <v>0.125</v>
      </c>
      <c r="F28" s="51" t="s">
        <v>23</v>
      </c>
      <c r="G28" s="69"/>
      <c r="H28" s="73" t="s">
        <v>109</v>
      </c>
      <c r="I28" s="49"/>
      <c r="J28" s="51">
        <f>ROUNDUP(E28*0.75,2)</f>
        <v>9.9999999999999992E-2</v>
      </c>
      <c r="K28" s="51" t="s">
        <v>23</v>
      </c>
      <c r="L28" s="51"/>
      <c r="M28" s="77" t="e">
        <f>#REF!</f>
        <v>#REF!</v>
      </c>
      <c r="N28" s="65" t="s">
        <v>59</v>
      </c>
      <c r="O28" s="52"/>
      <c r="P28" s="49"/>
      <c r="Q28" s="53"/>
      <c r="R28" s="85"/>
    </row>
    <row r="29" spans="1:18" ht="23.1" customHeight="1" thickBot="1">
      <c r="A29" s="213"/>
      <c r="B29" s="66"/>
      <c r="C29" s="55"/>
      <c r="D29" s="56"/>
      <c r="E29" s="57"/>
      <c r="F29" s="58"/>
      <c r="G29" s="70"/>
      <c r="H29" s="74"/>
      <c r="I29" s="56"/>
      <c r="J29" s="58"/>
      <c r="K29" s="58"/>
      <c r="L29" s="58"/>
      <c r="M29" s="78"/>
      <c r="N29" s="66"/>
      <c r="O29" s="59"/>
      <c r="P29" s="56"/>
      <c r="Q29" s="60"/>
      <c r="R29" s="87"/>
    </row>
    <row r="32" spans="1:18" ht="18.75" customHeight="1">
      <c r="P32" s="3"/>
      <c r="Q32" s="3"/>
      <c r="R32" s="3"/>
    </row>
    <row r="34" spans="16:18" ht="18.75" customHeight="1">
      <c r="P34" s="3"/>
      <c r="Q34" s="88"/>
      <c r="R34" s="88"/>
    </row>
  </sheetData>
  <mergeCells count="5">
    <mergeCell ref="B3:C4"/>
    <mergeCell ref="H1:N1"/>
    <mergeCell ref="A2:R2"/>
    <mergeCell ref="A5:F5"/>
    <mergeCell ref="A7:A29"/>
  </mergeCells>
  <phoneticPr fontId="16"/>
  <printOptions horizontalCentered="1" verticalCentered="1"/>
  <pageMargins left="0.39370078740157483" right="0.39370078740157483" top="0.39370078740157483" bottom="0.39370078740157483" header="0.39370078740157483" footer="0.39370078740157483"/>
  <pageSetup paperSize="12"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115</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116</v>
      </c>
      <c r="C7" s="48" t="s">
        <v>120</v>
      </c>
      <c r="D7" s="49"/>
      <c r="E7" s="50">
        <v>1</v>
      </c>
      <c r="F7" s="51" t="s">
        <v>48</v>
      </c>
      <c r="G7" s="69" t="s">
        <v>27</v>
      </c>
      <c r="H7" s="73" t="s">
        <v>120</v>
      </c>
      <c r="I7" s="49"/>
      <c r="J7" s="51">
        <f>ROUNDUP(E7*0.75,2)</f>
        <v>0.75</v>
      </c>
      <c r="K7" s="51" t="s">
        <v>48</v>
      </c>
      <c r="L7" s="51" t="s">
        <v>27</v>
      </c>
      <c r="M7" s="77" t="e">
        <f>#REF!</f>
        <v>#REF!</v>
      </c>
      <c r="N7" s="65" t="s">
        <v>117</v>
      </c>
      <c r="O7" s="52" t="s">
        <v>44</v>
      </c>
      <c r="P7" s="49" t="s">
        <v>34</v>
      </c>
      <c r="Q7" s="53">
        <v>5</v>
      </c>
      <c r="R7" s="85">
        <f t="shared" ref="R7:R14" si="0">ROUNDUP(Q7*0.75,2)</f>
        <v>3.75</v>
      </c>
    </row>
    <row r="8" spans="1:19" ht="27.95" customHeight="1">
      <c r="A8" s="212"/>
      <c r="B8" s="65"/>
      <c r="C8" s="48" t="s">
        <v>29</v>
      </c>
      <c r="D8" s="49"/>
      <c r="E8" s="50">
        <v>10</v>
      </c>
      <c r="F8" s="51" t="s">
        <v>16</v>
      </c>
      <c r="G8" s="69"/>
      <c r="H8" s="73" t="s">
        <v>29</v>
      </c>
      <c r="I8" s="49"/>
      <c r="J8" s="51">
        <f>ROUNDUP(E8*0.75,2)</f>
        <v>7.5</v>
      </c>
      <c r="K8" s="51" t="s">
        <v>16</v>
      </c>
      <c r="L8" s="51"/>
      <c r="M8" s="77" t="e">
        <f>ROUND(#REF!+(#REF!*10/100),2)</f>
        <v>#REF!</v>
      </c>
      <c r="N8" s="65" t="s">
        <v>118</v>
      </c>
      <c r="O8" s="52" t="s">
        <v>18</v>
      </c>
      <c r="P8" s="49"/>
      <c r="Q8" s="53">
        <v>2</v>
      </c>
      <c r="R8" s="85">
        <f t="shared" si="0"/>
        <v>1.5</v>
      </c>
    </row>
    <row r="9" spans="1:19" ht="27.95" customHeight="1">
      <c r="A9" s="212"/>
      <c r="B9" s="65"/>
      <c r="C9" s="48" t="s">
        <v>88</v>
      </c>
      <c r="D9" s="49"/>
      <c r="E9" s="50">
        <v>5</v>
      </c>
      <c r="F9" s="51" t="s">
        <v>16</v>
      </c>
      <c r="G9" s="69"/>
      <c r="H9" s="73" t="s">
        <v>88</v>
      </c>
      <c r="I9" s="49"/>
      <c r="J9" s="51">
        <f>ROUNDUP(E9*0.75,2)</f>
        <v>3.75</v>
      </c>
      <c r="K9" s="51" t="s">
        <v>16</v>
      </c>
      <c r="L9" s="51"/>
      <c r="M9" s="77" t="e">
        <f>#REF!</f>
        <v>#REF!</v>
      </c>
      <c r="N9" s="65" t="s">
        <v>119</v>
      </c>
      <c r="O9" s="52" t="s">
        <v>33</v>
      </c>
      <c r="P9" s="49" t="s">
        <v>34</v>
      </c>
      <c r="Q9" s="53">
        <v>1</v>
      </c>
      <c r="R9" s="85">
        <f t="shared" si="0"/>
        <v>0.75</v>
      </c>
    </row>
    <row r="10" spans="1:19" ht="27.95" customHeight="1">
      <c r="A10" s="212"/>
      <c r="B10" s="65"/>
      <c r="C10" s="48"/>
      <c r="D10" s="49"/>
      <c r="E10" s="50"/>
      <c r="F10" s="51"/>
      <c r="G10" s="69"/>
      <c r="H10" s="73"/>
      <c r="I10" s="49"/>
      <c r="J10" s="51"/>
      <c r="K10" s="51"/>
      <c r="L10" s="51"/>
      <c r="M10" s="77"/>
      <c r="N10" s="65" t="s">
        <v>14</v>
      </c>
      <c r="O10" s="52" t="s">
        <v>52</v>
      </c>
      <c r="P10" s="49"/>
      <c r="Q10" s="53">
        <v>2</v>
      </c>
      <c r="R10" s="85">
        <f t="shared" si="0"/>
        <v>1.5</v>
      </c>
    </row>
    <row r="11" spans="1:19" ht="27.95" customHeight="1">
      <c r="A11" s="212"/>
      <c r="B11" s="65"/>
      <c r="C11" s="48"/>
      <c r="D11" s="49"/>
      <c r="E11" s="50"/>
      <c r="F11" s="51"/>
      <c r="G11" s="69"/>
      <c r="H11" s="73"/>
      <c r="I11" s="49"/>
      <c r="J11" s="51"/>
      <c r="K11" s="51"/>
      <c r="L11" s="51"/>
      <c r="M11" s="77"/>
      <c r="N11" s="65"/>
      <c r="O11" s="52" t="s">
        <v>66</v>
      </c>
      <c r="P11" s="49" t="s">
        <v>40</v>
      </c>
      <c r="Q11" s="53">
        <v>1</v>
      </c>
      <c r="R11" s="85">
        <f t="shared" si="0"/>
        <v>0.75</v>
      </c>
    </row>
    <row r="12" spans="1:19" ht="27.95" customHeight="1">
      <c r="A12" s="212"/>
      <c r="B12" s="65"/>
      <c r="C12" s="48"/>
      <c r="D12" s="49"/>
      <c r="E12" s="50"/>
      <c r="F12" s="51"/>
      <c r="G12" s="69"/>
      <c r="H12" s="73"/>
      <c r="I12" s="49"/>
      <c r="J12" s="51"/>
      <c r="K12" s="51"/>
      <c r="L12" s="51"/>
      <c r="M12" s="77"/>
      <c r="N12" s="65"/>
      <c r="O12" s="52" t="s">
        <v>32</v>
      </c>
      <c r="P12" s="49"/>
      <c r="Q12" s="53">
        <v>0.5</v>
      </c>
      <c r="R12" s="85">
        <f t="shared" si="0"/>
        <v>0.38</v>
      </c>
    </row>
    <row r="13" spans="1:19" ht="27.95" customHeight="1">
      <c r="A13" s="212"/>
      <c r="B13" s="65"/>
      <c r="C13" s="48"/>
      <c r="D13" s="49"/>
      <c r="E13" s="50"/>
      <c r="F13" s="51"/>
      <c r="G13" s="69"/>
      <c r="H13" s="73"/>
      <c r="I13" s="49"/>
      <c r="J13" s="51"/>
      <c r="K13" s="51"/>
      <c r="L13" s="51"/>
      <c r="M13" s="77"/>
      <c r="N13" s="65"/>
      <c r="O13" s="52" t="s">
        <v>66</v>
      </c>
      <c r="P13" s="49" t="s">
        <v>40</v>
      </c>
      <c r="Q13" s="53">
        <v>1</v>
      </c>
      <c r="R13" s="85">
        <f t="shared" si="0"/>
        <v>0.75</v>
      </c>
    </row>
    <row r="14" spans="1:19" ht="27.95" customHeight="1">
      <c r="A14" s="212"/>
      <c r="B14" s="65"/>
      <c r="C14" s="48"/>
      <c r="D14" s="49"/>
      <c r="E14" s="50"/>
      <c r="F14" s="51"/>
      <c r="G14" s="69"/>
      <c r="H14" s="73"/>
      <c r="I14" s="49"/>
      <c r="J14" s="51"/>
      <c r="K14" s="51"/>
      <c r="L14" s="51"/>
      <c r="M14" s="77"/>
      <c r="N14" s="65"/>
      <c r="O14" s="52" t="s">
        <v>46</v>
      </c>
      <c r="P14" s="49"/>
      <c r="Q14" s="53">
        <v>10</v>
      </c>
      <c r="R14" s="85">
        <f t="shared" si="0"/>
        <v>7.5</v>
      </c>
    </row>
    <row r="15" spans="1:19" ht="27.95" customHeight="1">
      <c r="A15" s="212"/>
      <c r="B15" s="64"/>
      <c r="C15" s="42"/>
      <c r="D15" s="43"/>
      <c r="E15" s="44"/>
      <c r="F15" s="45"/>
      <c r="G15" s="68"/>
      <c r="H15" s="72"/>
      <c r="I15" s="43"/>
      <c r="J15" s="45"/>
      <c r="K15" s="45"/>
      <c r="L15" s="45"/>
      <c r="M15" s="76"/>
      <c r="N15" s="64"/>
      <c r="O15" s="46"/>
      <c r="P15" s="43"/>
      <c r="Q15" s="47"/>
      <c r="R15" s="84"/>
    </row>
    <row r="16" spans="1:19" ht="27.95" customHeight="1">
      <c r="A16" s="212"/>
      <c r="B16" s="65" t="s">
        <v>121</v>
      </c>
      <c r="C16" s="48" t="s">
        <v>124</v>
      </c>
      <c r="D16" s="49"/>
      <c r="E16" s="61">
        <v>0.25</v>
      </c>
      <c r="F16" s="51" t="s">
        <v>98</v>
      </c>
      <c r="G16" s="69"/>
      <c r="H16" s="73" t="s">
        <v>124</v>
      </c>
      <c r="I16" s="49"/>
      <c r="J16" s="51">
        <f>ROUNDUP(E16*0.75,2)</f>
        <v>0.19</v>
      </c>
      <c r="K16" s="51" t="s">
        <v>98</v>
      </c>
      <c r="L16" s="51"/>
      <c r="M16" s="77" t="e">
        <f>#REF!</f>
        <v>#REF!</v>
      </c>
      <c r="N16" s="65" t="s">
        <v>122</v>
      </c>
      <c r="O16" s="52" t="s">
        <v>52</v>
      </c>
      <c r="P16" s="49"/>
      <c r="Q16" s="53">
        <v>2.5</v>
      </c>
      <c r="R16" s="85">
        <f>ROUNDUP(Q16*0.75,2)</f>
        <v>1.8800000000000001</v>
      </c>
    </row>
    <row r="17" spans="1:18" ht="27.95" customHeight="1">
      <c r="A17" s="212"/>
      <c r="B17" s="65"/>
      <c r="C17" s="48" t="s">
        <v>15</v>
      </c>
      <c r="D17" s="49"/>
      <c r="E17" s="50">
        <v>20</v>
      </c>
      <c r="F17" s="51" t="s">
        <v>16</v>
      </c>
      <c r="G17" s="69"/>
      <c r="H17" s="73" t="s">
        <v>15</v>
      </c>
      <c r="I17" s="49"/>
      <c r="J17" s="51">
        <f>ROUNDUP(E17*0.75,2)</f>
        <v>15</v>
      </c>
      <c r="K17" s="51" t="s">
        <v>16</v>
      </c>
      <c r="L17" s="51"/>
      <c r="M17" s="77" t="e">
        <f>ROUND(#REF!+(#REF!*6/100),2)</f>
        <v>#REF!</v>
      </c>
      <c r="N17" s="65" t="s">
        <v>123</v>
      </c>
      <c r="O17" s="52" t="s">
        <v>33</v>
      </c>
      <c r="P17" s="49" t="s">
        <v>34</v>
      </c>
      <c r="Q17" s="53">
        <v>1.5</v>
      </c>
      <c r="R17" s="85">
        <f>ROUNDUP(Q17*0.75,2)</f>
        <v>1.1300000000000001</v>
      </c>
    </row>
    <row r="18" spans="1:18" ht="27.95" customHeight="1">
      <c r="A18" s="212"/>
      <c r="B18" s="65"/>
      <c r="C18" s="48" t="s">
        <v>43</v>
      </c>
      <c r="D18" s="49"/>
      <c r="E18" s="50">
        <v>10</v>
      </c>
      <c r="F18" s="51" t="s">
        <v>16</v>
      </c>
      <c r="G18" s="69"/>
      <c r="H18" s="73" t="s">
        <v>43</v>
      </c>
      <c r="I18" s="49"/>
      <c r="J18" s="51">
        <f>ROUNDUP(E18*0.75,2)</f>
        <v>7.5</v>
      </c>
      <c r="K18" s="51" t="s">
        <v>16</v>
      </c>
      <c r="L18" s="51"/>
      <c r="M18" s="77" t="e">
        <f>ROUND(#REF!+(#REF!*15/100),2)</f>
        <v>#REF!</v>
      </c>
      <c r="N18" s="65" t="s">
        <v>47</v>
      </c>
      <c r="O18" s="52" t="s">
        <v>31</v>
      </c>
      <c r="P18" s="49"/>
      <c r="Q18" s="53">
        <v>30</v>
      </c>
      <c r="R18" s="85">
        <f>ROUNDUP(Q18*0.75,2)</f>
        <v>22.5</v>
      </c>
    </row>
    <row r="19" spans="1:18" ht="27.95" customHeight="1">
      <c r="A19" s="212"/>
      <c r="B19" s="65"/>
      <c r="C19" s="48"/>
      <c r="D19" s="49"/>
      <c r="E19" s="50"/>
      <c r="F19" s="51"/>
      <c r="G19" s="69"/>
      <c r="H19" s="73"/>
      <c r="I19" s="49"/>
      <c r="J19" s="51"/>
      <c r="K19" s="51"/>
      <c r="L19" s="51"/>
      <c r="M19" s="77"/>
      <c r="N19" s="65"/>
      <c r="O19" s="52"/>
      <c r="P19" s="49"/>
      <c r="Q19" s="53"/>
      <c r="R19" s="85"/>
    </row>
    <row r="20" spans="1:18" ht="27.95" customHeight="1">
      <c r="A20" s="212"/>
      <c r="B20" s="64"/>
      <c r="C20" s="42"/>
      <c r="D20" s="43"/>
      <c r="E20" s="44"/>
      <c r="F20" s="45"/>
      <c r="G20" s="68"/>
      <c r="H20" s="72"/>
      <c r="I20" s="43"/>
      <c r="J20" s="45"/>
      <c r="K20" s="45"/>
      <c r="L20" s="45"/>
      <c r="M20" s="76"/>
      <c r="N20" s="64"/>
      <c r="O20" s="46"/>
      <c r="P20" s="43"/>
      <c r="Q20" s="47"/>
      <c r="R20" s="84"/>
    </row>
    <row r="21" spans="1:18" ht="27.95" customHeight="1">
      <c r="A21" s="212"/>
      <c r="B21" s="65" t="s">
        <v>55</v>
      </c>
      <c r="C21" s="48" t="s">
        <v>125</v>
      </c>
      <c r="D21" s="49"/>
      <c r="E21" s="50">
        <v>20</v>
      </c>
      <c r="F21" s="51" t="s">
        <v>16</v>
      </c>
      <c r="G21" s="69"/>
      <c r="H21" s="73" t="s">
        <v>125</v>
      </c>
      <c r="I21" s="49"/>
      <c r="J21" s="51">
        <f>ROUNDUP(E21*0.75,2)</f>
        <v>15</v>
      </c>
      <c r="K21" s="51" t="s">
        <v>16</v>
      </c>
      <c r="L21" s="51"/>
      <c r="M21" s="77" t="e">
        <f>ROUND(#REF!+(#REF!*3/100),2)</f>
        <v>#REF!</v>
      </c>
      <c r="N21" s="65" t="s">
        <v>47</v>
      </c>
      <c r="O21" s="52" t="s">
        <v>31</v>
      </c>
      <c r="P21" s="49"/>
      <c r="Q21" s="53">
        <v>100</v>
      </c>
      <c r="R21" s="85">
        <f>ROUNDUP(Q21*0.75,2)</f>
        <v>75</v>
      </c>
    </row>
    <row r="22" spans="1:18" ht="27.95" customHeight="1">
      <c r="A22" s="212"/>
      <c r="B22" s="65"/>
      <c r="C22" s="48" t="s">
        <v>50</v>
      </c>
      <c r="D22" s="49"/>
      <c r="E22" s="50">
        <v>5</v>
      </c>
      <c r="F22" s="51" t="s">
        <v>16</v>
      </c>
      <c r="G22" s="69"/>
      <c r="H22" s="73" t="s">
        <v>50</v>
      </c>
      <c r="I22" s="49"/>
      <c r="J22" s="51">
        <f>ROUNDUP(E22*0.75,2)</f>
        <v>3.75</v>
      </c>
      <c r="K22" s="51" t="s">
        <v>16</v>
      </c>
      <c r="L22" s="51"/>
      <c r="M22" s="77" t="e">
        <f>ROUND(#REF!+(#REF!*15/100),2)</f>
        <v>#REF!</v>
      </c>
      <c r="N22" s="65"/>
      <c r="O22" s="52" t="s">
        <v>57</v>
      </c>
      <c r="P22" s="49"/>
      <c r="Q22" s="53">
        <v>3</v>
      </c>
      <c r="R22" s="85">
        <f>ROUNDUP(Q22*0.75,2)</f>
        <v>2.25</v>
      </c>
    </row>
    <row r="23" spans="1:18" ht="27.95" customHeight="1">
      <c r="A23" s="212"/>
      <c r="B23" s="64"/>
      <c r="C23" s="42"/>
      <c r="D23" s="43"/>
      <c r="E23" s="44"/>
      <c r="F23" s="45"/>
      <c r="G23" s="68"/>
      <c r="H23" s="72"/>
      <c r="I23" s="43"/>
      <c r="J23" s="45"/>
      <c r="K23" s="45"/>
      <c r="L23" s="45"/>
      <c r="M23" s="76"/>
      <c r="N23" s="64"/>
      <c r="O23" s="46"/>
      <c r="P23" s="43"/>
      <c r="Q23" s="47"/>
      <c r="R23" s="84"/>
    </row>
    <row r="24" spans="1:18" ht="27.95" customHeight="1">
      <c r="A24" s="212"/>
      <c r="B24" s="65" t="s">
        <v>126</v>
      </c>
      <c r="C24" s="48" t="s">
        <v>127</v>
      </c>
      <c r="D24" s="49"/>
      <c r="E24" s="61">
        <v>0.25</v>
      </c>
      <c r="F24" s="51" t="s">
        <v>42</v>
      </c>
      <c r="G24" s="69"/>
      <c r="H24" s="73" t="s">
        <v>127</v>
      </c>
      <c r="I24" s="49"/>
      <c r="J24" s="51">
        <f>ROUNDUP(E24*0.75,2)</f>
        <v>0.19</v>
      </c>
      <c r="K24" s="51" t="s">
        <v>42</v>
      </c>
      <c r="L24" s="51"/>
      <c r="M24" s="77" t="e">
        <f>#REF!</f>
        <v>#REF!</v>
      </c>
      <c r="N24" s="65" t="s">
        <v>59</v>
      </c>
      <c r="O24" s="52"/>
      <c r="P24" s="49"/>
      <c r="Q24" s="53"/>
      <c r="R24" s="85"/>
    </row>
    <row r="25" spans="1:18" ht="27.95" customHeight="1" thickBot="1">
      <c r="A25" s="213"/>
      <c r="B25" s="66"/>
      <c r="C25" s="55"/>
      <c r="D25" s="56"/>
      <c r="E25" s="57"/>
      <c r="F25" s="58"/>
      <c r="G25" s="70"/>
      <c r="H25" s="74"/>
      <c r="I25" s="56"/>
      <c r="J25" s="58"/>
      <c r="K25" s="58"/>
      <c r="L25" s="58"/>
      <c r="M25" s="78"/>
      <c r="N25" s="66"/>
      <c r="O25" s="59"/>
      <c r="P25" s="56"/>
      <c r="Q25" s="60"/>
      <c r="R25" s="87"/>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134</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135</v>
      </c>
      <c r="C7" s="48" t="s">
        <v>105</v>
      </c>
      <c r="D7" s="49"/>
      <c r="E7" s="50">
        <v>40</v>
      </c>
      <c r="F7" s="51" t="s">
        <v>16</v>
      </c>
      <c r="G7" s="69"/>
      <c r="H7" s="73" t="s">
        <v>105</v>
      </c>
      <c r="I7" s="49"/>
      <c r="J7" s="51">
        <f t="shared" ref="J7:J12" si="0">ROUNDUP(E7*0.75,2)</f>
        <v>30</v>
      </c>
      <c r="K7" s="51" t="s">
        <v>16</v>
      </c>
      <c r="L7" s="51"/>
      <c r="M7" s="77" t="e">
        <f>#REF!</f>
        <v>#REF!</v>
      </c>
      <c r="N7" s="65" t="s">
        <v>136</v>
      </c>
      <c r="O7" s="52" t="s">
        <v>18</v>
      </c>
      <c r="P7" s="49"/>
      <c r="Q7" s="53">
        <v>1</v>
      </c>
      <c r="R7" s="85">
        <f t="shared" ref="R7:R14" si="1">ROUNDUP(Q7*0.75,2)</f>
        <v>0.75</v>
      </c>
    </row>
    <row r="8" spans="1:19" ht="27.95" customHeight="1">
      <c r="A8" s="212"/>
      <c r="B8" s="65"/>
      <c r="C8" s="48" t="s">
        <v>15</v>
      </c>
      <c r="D8" s="49"/>
      <c r="E8" s="50">
        <v>20</v>
      </c>
      <c r="F8" s="51" t="s">
        <v>16</v>
      </c>
      <c r="G8" s="69"/>
      <c r="H8" s="73" t="s">
        <v>15</v>
      </c>
      <c r="I8" s="49"/>
      <c r="J8" s="51">
        <f t="shared" si="0"/>
        <v>15</v>
      </c>
      <c r="K8" s="51" t="s">
        <v>16</v>
      </c>
      <c r="L8" s="51"/>
      <c r="M8" s="77" t="e">
        <f>ROUND(#REF!+(#REF!*6/100),2)</f>
        <v>#REF!</v>
      </c>
      <c r="N8" s="65" t="s">
        <v>137</v>
      </c>
      <c r="O8" s="52" t="s">
        <v>19</v>
      </c>
      <c r="P8" s="49"/>
      <c r="Q8" s="53">
        <v>0.1</v>
      </c>
      <c r="R8" s="85">
        <f t="shared" si="1"/>
        <v>0.08</v>
      </c>
    </row>
    <row r="9" spans="1:19" ht="27.95" customHeight="1">
      <c r="A9" s="212"/>
      <c r="B9" s="65"/>
      <c r="C9" s="48" t="s">
        <v>141</v>
      </c>
      <c r="D9" s="49" t="s">
        <v>34</v>
      </c>
      <c r="E9" s="50">
        <v>5</v>
      </c>
      <c r="F9" s="51" t="s">
        <v>16</v>
      </c>
      <c r="G9" s="69"/>
      <c r="H9" s="73" t="s">
        <v>141</v>
      </c>
      <c r="I9" s="49" t="s">
        <v>34</v>
      </c>
      <c r="J9" s="51">
        <f t="shared" si="0"/>
        <v>3.75</v>
      </c>
      <c r="K9" s="51" t="s">
        <v>16</v>
      </c>
      <c r="L9" s="51"/>
      <c r="M9" s="77" t="e">
        <f>#REF!</f>
        <v>#REF!</v>
      </c>
      <c r="N9" s="65" t="s">
        <v>138</v>
      </c>
      <c r="O9" s="52" t="s">
        <v>20</v>
      </c>
      <c r="P9" s="49"/>
      <c r="Q9" s="53">
        <v>0.01</v>
      </c>
      <c r="R9" s="85">
        <f t="shared" si="1"/>
        <v>0.01</v>
      </c>
    </row>
    <row r="10" spans="1:19" ht="27.95" customHeight="1">
      <c r="A10" s="212"/>
      <c r="B10" s="65"/>
      <c r="C10" s="48" t="s">
        <v>142</v>
      </c>
      <c r="D10" s="49"/>
      <c r="E10" s="50">
        <v>5</v>
      </c>
      <c r="F10" s="51" t="s">
        <v>41</v>
      </c>
      <c r="G10" s="69"/>
      <c r="H10" s="73" t="s">
        <v>142</v>
      </c>
      <c r="I10" s="49"/>
      <c r="J10" s="51">
        <f t="shared" si="0"/>
        <v>3.75</v>
      </c>
      <c r="K10" s="51" t="s">
        <v>41</v>
      </c>
      <c r="L10" s="51"/>
      <c r="M10" s="77" t="e">
        <f>#REF!</f>
        <v>#REF!</v>
      </c>
      <c r="N10" s="65" t="s">
        <v>139</v>
      </c>
      <c r="O10" s="52" t="s">
        <v>18</v>
      </c>
      <c r="P10" s="49"/>
      <c r="Q10" s="53">
        <v>1</v>
      </c>
      <c r="R10" s="85">
        <f t="shared" si="1"/>
        <v>0.75</v>
      </c>
    </row>
    <row r="11" spans="1:19" ht="27.95" customHeight="1">
      <c r="A11" s="212"/>
      <c r="B11" s="65"/>
      <c r="C11" s="48" t="s">
        <v>73</v>
      </c>
      <c r="D11" s="49"/>
      <c r="E11" s="50">
        <v>10</v>
      </c>
      <c r="F11" s="51" t="s">
        <v>16</v>
      </c>
      <c r="G11" s="69"/>
      <c r="H11" s="73" t="s">
        <v>73</v>
      </c>
      <c r="I11" s="49"/>
      <c r="J11" s="51">
        <f t="shared" si="0"/>
        <v>7.5</v>
      </c>
      <c r="K11" s="51" t="s">
        <v>16</v>
      </c>
      <c r="L11" s="51"/>
      <c r="M11" s="77" t="e">
        <f>ROUND(#REF!+(#REF!*2/100),2)</f>
        <v>#REF!</v>
      </c>
      <c r="N11" s="65" t="s">
        <v>140</v>
      </c>
      <c r="O11" s="52" t="s">
        <v>49</v>
      </c>
      <c r="P11" s="49"/>
      <c r="Q11" s="53">
        <v>1</v>
      </c>
      <c r="R11" s="85">
        <f t="shared" si="1"/>
        <v>0.75</v>
      </c>
    </row>
    <row r="12" spans="1:19" ht="27.95" customHeight="1">
      <c r="A12" s="212"/>
      <c r="B12" s="65"/>
      <c r="C12" s="48" t="s">
        <v>29</v>
      </c>
      <c r="D12" s="49"/>
      <c r="E12" s="50">
        <v>5</v>
      </c>
      <c r="F12" s="51" t="s">
        <v>16</v>
      </c>
      <c r="G12" s="69"/>
      <c r="H12" s="73" t="s">
        <v>29</v>
      </c>
      <c r="I12" s="49"/>
      <c r="J12" s="51">
        <f t="shared" si="0"/>
        <v>3.75</v>
      </c>
      <c r="K12" s="51" t="s">
        <v>16</v>
      </c>
      <c r="L12" s="51"/>
      <c r="M12" s="77" t="e">
        <f>ROUND(#REF!+(#REF!*10/100),2)</f>
        <v>#REF!</v>
      </c>
      <c r="N12" s="65" t="s">
        <v>14</v>
      </c>
      <c r="O12" s="52" t="s">
        <v>32</v>
      </c>
      <c r="P12" s="49"/>
      <c r="Q12" s="53">
        <v>1.5</v>
      </c>
      <c r="R12" s="85">
        <f t="shared" si="1"/>
        <v>1.1300000000000001</v>
      </c>
    </row>
    <row r="13" spans="1:19" ht="27.95" customHeight="1">
      <c r="A13" s="212"/>
      <c r="B13" s="65"/>
      <c r="C13" s="48"/>
      <c r="D13" s="49"/>
      <c r="E13" s="50"/>
      <c r="F13" s="51"/>
      <c r="G13" s="69"/>
      <c r="H13" s="73"/>
      <c r="I13" s="49"/>
      <c r="J13" s="51"/>
      <c r="K13" s="51"/>
      <c r="L13" s="51"/>
      <c r="M13" s="77"/>
      <c r="N13" s="65"/>
      <c r="O13" s="52" t="s">
        <v>52</v>
      </c>
      <c r="P13" s="49"/>
      <c r="Q13" s="53">
        <v>1</v>
      </c>
      <c r="R13" s="85">
        <f t="shared" si="1"/>
        <v>0.75</v>
      </c>
    </row>
    <row r="14" spans="1:19" ht="27.95" customHeight="1">
      <c r="A14" s="212"/>
      <c r="B14" s="65"/>
      <c r="C14" s="48"/>
      <c r="D14" s="49"/>
      <c r="E14" s="50"/>
      <c r="F14" s="51"/>
      <c r="G14" s="69"/>
      <c r="H14" s="73"/>
      <c r="I14" s="49"/>
      <c r="J14" s="51"/>
      <c r="K14" s="51"/>
      <c r="L14" s="51"/>
      <c r="M14" s="77"/>
      <c r="N14" s="65"/>
      <c r="O14" s="52" t="s">
        <v>33</v>
      </c>
      <c r="P14" s="49" t="s">
        <v>34</v>
      </c>
      <c r="Q14" s="53">
        <v>1.5</v>
      </c>
      <c r="R14" s="85">
        <f t="shared" si="1"/>
        <v>1.1300000000000001</v>
      </c>
    </row>
    <row r="15" spans="1:19" ht="27.95" customHeight="1">
      <c r="A15" s="212"/>
      <c r="B15" s="64"/>
      <c r="C15" s="42"/>
      <c r="D15" s="43"/>
      <c r="E15" s="44"/>
      <c r="F15" s="45"/>
      <c r="G15" s="68"/>
      <c r="H15" s="72"/>
      <c r="I15" s="43"/>
      <c r="J15" s="45"/>
      <c r="K15" s="45"/>
      <c r="L15" s="45"/>
      <c r="M15" s="76"/>
      <c r="N15" s="64"/>
      <c r="O15" s="46"/>
      <c r="P15" s="43"/>
      <c r="Q15" s="47"/>
      <c r="R15" s="84"/>
    </row>
    <row r="16" spans="1:19" ht="27.95" customHeight="1">
      <c r="A16" s="212"/>
      <c r="B16" s="65" t="s">
        <v>143</v>
      </c>
      <c r="C16" s="48" t="s">
        <v>56</v>
      </c>
      <c r="D16" s="49"/>
      <c r="E16" s="50">
        <v>50</v>
      </c>
      <c r="F16" s="51" t="s">
        <v>16</v>
      </c>
      <c r="G16" s="69"/>
      <c r="H16" s="73" t="s">
        <v>56</v>
      </c>
      <c r="I16" s="49"/>
      <c r="J16" s="51">
        <f>ROUNDUP(E16*0.75,2)</f>
        <v>37.5</v>
      </c>
      <c r="K16" s="51" t="s">
        <v>16</v>
      </c>
      <c r="L16" s="51"/>
      <c r="M16" s="77" t="e">
        <f>ROUND(#REF!+(#REF!*10/100),2)</f>
        <v>#REF!</v>
      </c>
      <c r="N16" s="65" t="s">
        <v>144</v>
      </c>
      <c r="O16" s="52" t="s">
        <v>46</v>
      </c>
      <c r="P16" s="49"/>
      <c r="Q16" s="53">
        <v>30</v>
      </c>
      <c r="R16" s="85">
        <f>ROUNDUP(Q16*0.75,2)</f>
        <v>22.5</v>
      </c>
    </row>
    <row r="17" spans="1:18" ht="27.95" customHeight="1">
      <c r="A17" s="212"/>
      <c r="B17" s="65"/>
      <c r="C17" s="48"/>
      <c r="D17" s="49"/>
      <c r="E17" s="50"/>
      <c r="F17" s="51"/>
      <c r="G17" s="69"/>
      <c r="H17" s="73"/>
      <c r="I17" s="49"/>
      <c r="J17" s="51"/>
      <c r="K17" s="51"/>
      <c r="L17" s="51"/>
      <c r="M17" s="77"/>
      <c r="N17" s="65" t="s">
        <v>145</v>
      </c>
      <c r="O17" s="52" t="s">
        <v>32</v>
      </c>
      <c r="P17" s="49"/>
      <c r="Q17" s="53">
        <v>1</v>
      </c>
      <c r="R17" s="85">
        <f>ROUNDUP(Q17*0.75,2)</f>
        <v>0.75</v>
      </c>
    </row>
    <row r="18" spans="1:18" ht="27.95" customHeight="1">
      <c r="A18" s="212"/>
      <c r="B18" s="65"/>
      <c r="C18" s="48"/>
      <c r="D18" s="49"/>
      <c r="E18" s="50"/>
      <c r="F18" s="51"/>
      <c r="G18" s="69"/>
      <c r="H18" s="73"/>
      <c r="I18" s="49"/>
      <c r="J18" s="51"/>
      <c r="K18" s="51"/>
      <c r="L18" s="51"/>
      <c r="M18" s="77"/>
      <c r="N18" s="65" t="s">
        <v>47</v>
      </c>
      <c r="O18" s="52"/>
      <c r="P18" s="49"/>
      <c r="Q18" s="53"/>
      <c r="R18" s="85"/>
    </row>
    <row r="19" spans="1:18" ht="27.95" customHeight="1">
      <c r="A19" s="212"/>
      <c r="B19" s="65"/>
      <c r="C19" s="48"/>
      <c r="D19" s="49"/>
      <c r="E19" s="50"/>
      <c r="F19" s="51"/>
      <c r="G19" s="69"/>
      <c r="H19" s="73"/>
      <c r="I19" s="49"/>
      <c r="J19" s="51"/>
      <c r="K19" s="51"/>
      <c r="L19" s="51"/>
      <c r="M19" s="77"/>
      <c r="N19" s="65"/>
      <c r="O19" s="52"/>
      <c r="P19" s="49"/>
      <c r="Q19" s="53"/>
      <c r="R19" s="85"/>
    </row>
    <row r="20" spans="1:18" ht="27.95" customHeight="1">
      <c r="A20" s="212"/>
      <c r="B20" s="64"/>
      <c r="C20" s="42"/>
      <c r="D20" s="43"/>
      <c r="E20" s="44"/>
      <c r="F20" s="45"/>
      <c r="G20" s="68"/>
      <c r="H20" s="72"/>
      <c r="I20" s="43"/>
      <c r="J20" s="45"/>
      <c r="K20" s="45"/>
      <c r="L20" s="45"/>
      <c r="M20" s="76"/>
      <c r="N20" s="64"/>
      <c r="O20" s="46"/>
      <c r="P20" s="43"/>
      <c r="Q20" s="47"/>
      <c r="R20" s="84"/>
    </row>
    <row r="21" spans="1:18" ht="27.95" customHeight="1">
      <c r="A21" s="212"/>
      <c r="B21" s="65" t="s">
        <v>55</v>
      </c>
      <c r="C21" s="48" t="s">
        <v>87</v>
      </c>
      <c r="D21" s="49"/>
      <c r="E21" s="50">
        <v>20</v>
      </c>
      <c r="F21" s="51" t="s">
        <v>16</v>
      </c>
      <c r="G21" s="69"/>
      <c r="H21" s="73" t="s">
        <v>87</v>
      </c>
      <c r="I21" s="49"/>
      <c r="J21" s="51">
        <f>ROUNDUP(E21*0.75,2)</f>
        <v>15</v>
      </c>
      <c r="K21" s="51" t="s">
        <v>16</v>
      </c>
      <c r="L21" s="51"/>
      <c r="M21" s="77" t="e">
        <f>ROUND(#REF!+(#REF!*6/100),2)</f>
        <v>#REF!</v>
      </c>
      <c r="N21" s="65" t="s">
        <v>14</v>
      </c>
      <c r="O21" s="52" t="s">
        <v>31</v>
      </c>
      <c r="P21" s="49"/>
      <c r="Q21" s="53">
        <v>100</v>
      </c>
      <c r="R21" s="85">
        <f>ROUNDUP(Q21*0.75,2)</f>
        <v>75</v>
      </c>
    </row>
    <row r="22" spans="1:18" ht="27.95" customHeight="1">
      <c r="A22" s="212"/>
      <c r="B22" s="65"/>
      <c r="C22" s="48" t="s">
        <v>21</v>
      </c>
      <c r="D22" s="49" t="s">
        <v>22</v>
      </c>
      <c r="E22" s="61">
        <v>0.25</v>
      </c>
      <c r="F22" s="51" t="s">
        <v>23</v>
      </c>
      <c r="G22" s="69"/>
      <c r="H22" s="73" t="s">
        <v>21</v>
      </c>
      <c r="I22" s="49" t="s">
        <v>22</v>
      </c>
      <c r="J22" s="51">
        <f>ROUNDUP(E22*0.75,2)</f>
        <v>0.19</v>
      </c>
      <c r="K22" s="51" t="s">
        <v>23</v>
      </c>
      <c r="L22" s="51"/>
      <c r="M22" s="77" t="e">
        <f>#REF!</f>
        <v>#REF!</v>
      </c>
      <c r="N22" s="65"/>
      <c r="O22" s="52" t="s">
        <v>57</v>
      </c>
      <c r="P22" s="49"/>
      <c r="Q22" s="53">
        <v>3</v>
      </c>
      <c r="R22" s="85">
        <f>ROUNDUP(Q22*0.75,2)</f>
        <v>2.25</v>
      </c>
    </row>
    <row r="23" spans="1:18" ht="27.95" customHeight="1" thickBot="1">
      <c r="A23" s="213"/>
      <c r="B23" s="66"/>
      <c r="C23" s="55"/>
      <c r="D23" s="56"/>
      <c r="E23" s="57"/>
      <c r="F23" s="58"/>
      <c r="G23" s="70"/>
      <c r="H23" s="74"/>
      <c r="I23" s="56"/>
      <c r="J23" s="58"/>
      <c r="K23" s="58"/>
      <c r="L23" s="58"/>
      <c r="M23" s="78"/>
      <c r="N23" s="66"/>
      <c r="O23" s="59"/>
      <c r="P23" s="56"/>
      <c r="Q23" s="60"/>
      <c r="R23" s="87"/>
    </row>
  </sheetData>
  <mergeCells count="4">
    <mergeCell ref="H1:N1"/>
    <mergeCell ref="A2:R2"/>
    <mergeCell ref="A3:F3"/>
    <mergeCell ref="A5:A23"/>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150</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151</v>
      </c>
      <c r="C5" s="36" t="s">
        <v>152</v>
      </c>
      <c r="D5" s="37" t="s">
        <v>153</v>
      </c>
      <c r="E5" s="81">
        <v>0.5</v>
      </c>
      <c r="F5" s="39" t="s">
        <v>28</v>
      </c>
      <c r="G5" s="67"/>
      <c r="H5" s="71" t="s">
        <v>152</v>
      </c>
      <c r="I5" s="37" t="s">
        <v>153</v>
      </c>
      <c r="J5" s="39">
        <f>ROUNDUP(E5*0.75,2)</f>
        <v>0.38</v>
      </c>
      <c r="K5" s="39" t="s">
        <v>28</v>
      </c>
      <c r="L5" s="39"/>
      <c r="M5" s="75" t="e">
        <f>#REF!</f>
        <v>#REF!</v>
      </c>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154</v>
      </c>
      <c r="C7" s="48" t="s">
        <v>83</v>
      </c>
      <c r="D7" s="49"/>
      <c r="E7" s="50">
        <v>50</v>
      </c>
      <c r="F7" s="51" t="s">
        <v>16</v>
      </c>
      <c r="G7" s="69"/>
      <c r="H7" s="73" t="s">
        <v>83</v>
      </c>
      <c r="I7" s="49"/>
      <c r="J7" s="51">
        <f t="shared" ref="J7:J12" si="0">ROUNDUP(E7*0.75,2)</f>
        <v>37.5</v>
      </c>
      <c r="K7" s="51" t="s">
        <v>16</v>
      </c>
      <c r="L7" s="51"/>
      <c r="M7" s="77" t="e">
        <f>ROUND(#REF!+(#REF!*10/100),2)</f>
        <v>#REF!</v>
      </c>
      <c r="N7" s="65" t="s">
        <v>155</v>
      </c>
      <c r="O7" s="52" t="s">
        <v>18</v>
      </c>
      <c r="P7" s="49"/>
      <c r="Q7" s="53">
        <v>1</v>
      </c>
      <c r="R7" s="85">
        <f t="shared" ref="R7:R15" si="1">ROUNDUP(Q7*0.75,2)</f>
        <v>0.75</v>
      </c>
    </row>
    <row r="8" spans="1:19" ht="27.95" customHeight="1">
      <c r="A8" s="212"/>
      <c r="B8" s="65"/>
      <c r="C8" s="48" t="s">
        <v>15</v>
      </c>
      <c r="D8" s="49"/>
      <c r="E8" s="50">
        <v>20</v>
      </c>
      <c r="F8" s="51" t="s">
        <v>16</v>
      </c>
      <c r="G8" s="69"/>
      <c r="H8" s="73" t="s">
        <v>15</v>
      </c>
      <c r="I8" s="49"/>
      <c r="J8" s="51">
        <f t="shared" si="0"/>
        <v>15</v>
      </c>
      <c r="K8" s="51" t="s">
        <v>16</v>
      </c>
      <c r="L8" s="51"/>
      <c r="M8" s="77" t="e">
        <f>ROUND(#REF!+(#REF!*6/100),2)</f>
        <v>#REF!</v>
      </c>
      <c r="N8" s="65" t="s">
        <v>156</v>
      </c>
      <c r="O8" s="52" t="s">
        <v>19</v>
      </c>
      <c r="P8" s="49"/>
      <c r="Q8" s="53">
        <v>0.1</v>
      </c>
      <c r="R8" s="85">
        <f t="shared" si="1"/>
        <v>0.08</v>
      </c>
    </row>
    <row r="9" spans="1:19" ht="27.95" customHeight="1">
      <c r="A9" s="212"/>
      <c r="B9" s="65"/>
      <c r="C9" s="48" t="s">
        <v>105</v>
      </c>
      <c r="D9" s="49"/>
      <c r="E9" s="50">
        <v>20</v>
      </c>
      <c r="F9" s="51" t="s">
        <v>16</v>
      </c>
      <c r="G9" s="69"/>
      <c r="H9" s="73" t="s">
        <v>105</v>
      </c>
      <c r="I9" s="49"/>
      <c r="J9" s="51">
        <f t="shared" si="0"/>
        <v>15</v>
      </c>
      <c r="K9" s="51" t="s">
        <v>16</v>
      </c>
      <c r="L9" s="51"/>
      <c r="M9" s="77" t="e">
        <f>#REF!</f>
        <v>#REF!</v>
      </c>
      <c r="N9" s="65" t="s">
        <v>242</v>
      </c>
      <c r="O9" s="52" t="s">
        <v>20</v>
      </c>
      <c r="P9" s="49"/>
      <c r="Q9" s="53">
        <v>0.01</v>
      </c>
      <c r="R9" s="85">
        <f t="shared" si="1"/>
        <v>0.01</v>
      </c>
    </row>
    <row r="10" spans="1:19" ht="27.95" customHeight="1">
      <c r="A10" s="212"/>
      <c r="B10" s="65"/>
      <c r="C10" s="48" t="s">
        <v>141</v>
      </c>
      <c r="D10" s="49" t="s">
        <v>34</v>
      </c>
      <c r="E10" s="50">
        <v>6</v>
      </c>
      <c r="F10" s="51" t="s">
        <v>16</v>
      </c>
      <c r="G10" s="69"/>
      <c r="H10" s="73" t="s">
        <v>141</v>
      </c>
      <c r="I10" s="49" t="s">
        <v>34</v>
      </c>
      <c r="J10" s="51">
        <f t="shared" si="0"/>
        <v>4.5</v>
      </c>
      <c r="K10" s="51" t="s">
        <v>16</v>
      </c>
      <c r="L10" s="51"/>
      <c r="M10" s="77" t="e">
        <f>#REF!</f>
        <v>#REF!</v>
      </c>
      <c r="N10" s="86" t="s">
        <v>243</v>
      </c>
      <c r="O10" s="52" t="s">
        <v>44</v>
      </c>
      <c r="P10" s="49" t="s">
        <v>34</v>
      </c>
      <c r="Q10" s="53">
        <v>4</v>
      </c>
      <c r="R10" s="85">
        <f t="shared" si="1"/>
        <v>3</v>
      </c>
    </row>
    <row r="11" spans="1:19" ht="27.95" customHeight="1">
      <c r="A11" s="212"/>
      <c r="B11" s="65"/>
      <c r="C11" s="48" t="s">
        <v>128</v>
      </c>
      <c r="D11" s="49"/>
      <c r="E11" s="50">
        <v>10</v>
      </c>
      <c r="F11" s="51" t="s">
        <v>16</v>
      </c>
      <c r="G11" s="69"/>
      <c r="H11" s="73" t="s">
        <v>128</v>
      </c>
      <c r="I11" s="49"/>
      <c r="J11" s="51">
        <f t="shared" si="0"/>
        <v>7.5</v>
      </c>
      <c r="K11" s="51" t="s">
        <v>16</v>
      </c>
      <c r="L11" s="51"/>
      <c r="M11" s="77" t="e">
        <f>ROUND(#REF!+(#REF!*50/100),2)</f>
        <v>#REF!</v>
      </c>
      <c r="N11" s="65" t="s">
        <v>157</v>
      </c>
      <c r="O11" s="52" t="s">
        <v>44</v>
      </c>
      <c r="P11" s="49" t="s">
        <v>34</v>
      </c>
      <c r="Q11" s="53">
        <v>4</v>
      </c>
      <c r="R11" s="85">
        <f t="shared" si="1"/>
        <v>3</v>
      </c>
    </row>
    <row r="12" spans="1:19" ht="27.95" customHeight="1">
      <c r="A12" s="212"/>
      <c r="B12" s="65"/>
      <c r="C12" s="48" t="s">
        <v>29</v>
      </c>
      <c r="D12" s="49"/>
      <c r="E12" s="50">
        <v>10</v>
      </c>
      <c r="F12" s="51" t="s">
        <v>16</v>
      </c>
      <c r="G12" s="69"/>
      <c r="H12" s="73" t="s">
        <v>29</v>
      </c>
      <c r="I12" s="49"/>
      <c r="J12" s="51">
        <f t="shared" si="0"/>
        <v>7.5</v>
      </c>
      <c r="K12" s="51" t="s">
        <v>16</v>
      </c>
      <c r="L12" s="51"/>
      <c r="M12" s="77" t="e">
        <f>ROUND(#REF!+(#REF!*10/100),2)</f>
        <v>#REF!</v>
      </c>
      <c r="N12" s="65" t="s">
        <v>47</v>
      </c>
      <c r="O12" s="52" t="s">
        <v>46</v>
      </c>
      <c r="P12" s="49"/>
      <c r="Q12" s="53">
        <v>8</v>
      </c>
      <c r="R12" s="85">
        <f t="shared" si="1"/>
        <v>6</v>
      </c>
    </row>
    <row r="13" spans="1:19" ht="27.95" customHeight="1">
      <c r="A13" s="212"/>
      <c r="B13" s="65"/>
      <c r="C13" s="48"/>
      <c r="D13" s="49"/>
      <c r="E13" s="50"/>
      <c r="F13" s="51"/>
      <c r="G13" s="69"/>
      <c r="H13" s="73"/>
      <c r="I13" s="49"/>
      <c r="J13" s="51"/>
      <c r="K13" s="51"/>
      <c r="L13" s="51"/>
      <c r="M13" s="77"/>
      <c r="N13" s="65"/>
      <c r="O13" s="52" t="s">
        <v>18</v>
      </c>
      <c r="P13" s="49"/>
      <c r="Q13" s="53">
        <v>5</v>
      </c>
      <c r="R13" s="85">
        <f t="shared" si="1"/>
        <v>3.75</v>
      </c>
    </row>
    <row r="14" spans="1:19" ht="27.95" customHeight="1">
      <c r="A14" s="212"/>
      <c r="B14" s="65"/>
      <c r="C14" s="48"/>
      <c r="D14" s="49"/>
      <c r="E14" s="50"/>
      <c r="F14" s="51"/>
      <c r="G14" s="69"/>
      <c r="H14" s="73"/>
      <c r="I14" s="49"/>
      <c r="J14" s="51"/>
      <c r="K14" s="51"/>
      <c r="L14" s="51"/>
      <c r="M14" s="77"/>
      <c r="N14" s="65"/>
      <c r="O14" s="52" t="s">
        <v>66</v>
      </c>
      <c r="P14" s="49" t="s">
        <v>40</v>
      </c>
      <c r="Q14" s="53">
        <v>1</v>
      </c>
      <c r="R14" s="85">
        <f t="shared" si="1"/>
        <v>0.75</v>
      </c>
    </row>
    <row r="15" spans="1:19" ht="27.95" customHeight="1">
      <c r="A15" s="212"/>
      <c r="B15" s="65"/>
      <c r="C15" s="48"/>
      <c r="D15" s="49"/>
      <c r="E15" s="50"/>
      <c r="F15" s="51"/>
      <c r="G15" s="69"/>
      <c r="H15" s="73"/>
      <c r="I15" s="49"/>
      <c r="J15" s="51"/>
      <c r="K15" s="51"/>
      <c r="L15" s="51"/>
      <c r="M15" s="77"/>
      <c r="N15" s="65"/>
      <c r="O15" s="52" t="s">
        <v>19</v>
      </c>
      <c r="P15" s="49"/>
      <c r="Q15" s="53">
        <v>0.05</v>
      </c>
      <c r="R15" s="85">
        <f t="shared" si="1"/>
        <v>0.04</v>
      </c>
    </row>
    <row r="16" spans="1:19" ht="27.95" customHeight="1">
      <c r="A16" s="212"/>
      <c r="B16" s="64"/>
      <c r="C16" s="42"/>
      <c r="D16" s="43"/>
      <c r="E16" s="44"/>
      <c r="F16" s="45"/>
      <c r="G16" s="68"/>
      <c r="H16" s="72"/>
      <c r="I16" s="43"/>
      <c r="J16" s="45"/>
      <c r="K16" s="45"/>
      <c r="L16" s="45"/>
      <c r="M16" s="76"/>
      <c r="N16" s="64"/>
      <c r="O16" s="46"/>
      <c r="P16" s="43"/>
      <c r="Q16" s="47"/>
      <c r="R16" s="84"/>
    </row>
    <row r="17" spans="1:18" ht="27.95" customHeight="1">
      <c r="A17" s="212"/>
      <c r="B17" s="65" t="s">
        <v>158</v>
      </c>
      <c r="C17" s="48" t="s">
        <v>74</v>
      </c>
      <c r="D17" s="49"/>
      <c r="E17" s="50">
        <v>10</v>
      </c>
      <c r="F17" s="51" t="s">
        <v>16</v>
      </c>
      <c r="G17" s="69"/>
      <c r="H17" s="73" t="s">
        <v>74</v>
      </c>
      <c r="I17" s="49"/>
      <c r="J17" s="51">
        <f>ROUNDUP(E17*0.75,2)</f>
        <v>7.5</v>
      </c>
      <c r="K17" s="51" t="s">
        <v>16</v>
      </c>
      <c r="L17" s="51"/>
      <c r="M17" s="77" t="e">
        <f>#REF!</f>
        <v>#REF!</v>
      </c>
      <c r="N17" s="65" t="s">
        <v>159</v>
      </c>
      <c r="O17" s="52" t="s">
        <v>32</v>
      </c>
      <c r="P17" s="49"/>
      <c r="Q17" s="53">
        <v>0.3</v>
      </c>
      <c r="R17" s="85">
        <f>ROUNDUP(Q17*0.75,2)</f>
        <v>0.23</v>
      </c>
    </row>
    <row r="18" spans="1:18" ht="27.95" customHeight="1">
      <c r="A18" s="212"/>
      <c r="B18" s="65"/>
      <c r="C18" s="48" t="s">
        <v>125</v>
      </c>
      <c r="D18" s="49"/>
      <c r="E18" s="50">
        <v>30</v>
      </c>
      <c r="F18" s="51" t="s">
        <v>16</v>
      </c>
      <c r="G18" s="69"/>
      <c r="H18" s="73" t="s">
        <v>125</v>
      </c>
      <c r="I18" s="49"/>
      <c r="J18" s="51">
        <f>ROUNDUP(E18*0.75,2)</f>
        <v>22.5</v>
      </c>
      <c r="K18" s="51" t="s">
        <v>16</v>
      </c>
      <c r="L18" s="51"/>
      <c r="M18" s="77" t="e">
        <f>ROUND(#REF!+(#REF!*3/100),2)</f>
        <v>#REF!</v>
      </c>
      <c r="N18" s="65" t="s">
        <v>160</v>
      </c>
      <c r="O18" s="52" t="s">
        <v>148</v>
      </c>
      <c r="P18" s="49" t="s">
        <v>149</v>
      </c>
      <c r="Q18" s="53">
        <v>3</v>
      </c>
      <c r="R18" s="85">
        <f>ROUNDUP(Q18*0.75,2)</f>
        <v>2.25</v>
      </c>
    </row>
    <row r="19" spans="1:18" ht="27.95" customHeight="1">
      <c r="A19" s="212"/>
      <c r="B19" s="65"/>
      <c r="C19" s="48" t="s">
        <v>161</v>
      </c>
      <c r="D19" s="49"/>
      <c r="E19" s="50">
        <v>10</v>
      </c>
      <c r="F19" s="51" t="s">
        <v>16</v>
      </c>
      <c r="G19" s="69"/>
      <c r="H19" s="73" t="s">
        <v>161</v>
      </c>
      <c r="I19" s="49"/>
      <c r="J19" s="51">
        <f>ROUNDUP(E19*0.75,2)</f>
        <v>7.5</v>
      </c>
      <c r="K19" s="51" t="s">
        <v>16</v>
      </c>
      <c r="L19" s="51"/>
      <c r="M19" s="77" t="e">
        <f>ROUND(#REF!+(#REF!*15/100),2)</f>
        <v>#REF!</v>
      </c>
      <c r="N19" s="65" t="s">
        <v>14</v>
      </c>
      <c r="O19" s="52" t="s">
        <v>33</v>
      </c>
      <c r="P19" s="49" t="s">
        <v>34</v>
      </c>
      <c r="Q19" s="53">
        <v>0.5</v>
      </c>
      <c r="R19" s="85">
        <f>ROUNDUP(Q19*0.75,2)</f>
        <v>0.38</v>
      </c>
    </row>
    <row r="20" spans="1:18" ht="27.95" customHeight="1">
      <c r="A20" s="212"/>
      <c r="B20" s="65"/>
      <c r="C20" s="48" t="s">
        <v>88</v>
      </c>
      <c r="D20" s="49"/>
      <c r="E20" s="50">
        <v>5</v>
      </c>
      <c r="F20" s="51" t="s">
        <v>16</v>
      </c>
      <c r="G20" s="69"/>
      <c r="H20" s="73" t="s">
        <v>88</v>
      </c>
      <c r="I20" s="49"/>
      <c r="J20" s="51">
        <f>ROUNDUP(E20*0.75,2)</f>
        <v>3.75</v>
      </c>
      <c r="K20" s="51" t="s">
        <v>16</v>
      </c>
      <c r="L20" s="51"/>
      <c r="M20" s="77" t="e">
        <f>#REF!</f>
        <v>#REF!</v>
      </c>
      <c r="N20" s="65"/>
      <c r="O20" s="52"/>
      <c r="P20" s="49"/>
      <c r="Q20" s="53"/>
      <c r="R20" s="85"/>
    </row>
    <row r="21" spans="1:18" ht="27.95" customHeight="1">
      <c r="A21" s="212"/>
      <c r="B21" s="64"/>
      <c r="C21" s="42"/>
      <c r="D21" s="43"/>
      <c r="E21" s="44"/>
      <c r="F21" s="45"/>
      <c r="G21" s="68"/>
      <c r="H21" s="72"/>
      <c r="I21" s="43"/>
      <c r="J21" s="45"/>
      <c r="K21" s="45"/>
      <c r="L21" s="45"/>
      <c r="M21" s="76"/>
      <c r="N21" s="64"/>
      <c r="O21" s="46"/>
      <c r="P21" s="43"/>
      <c r="Q21" s="47"/>
      <c r="R21" s="84"/>
    </row>
    <row r="22" spans="1:18" ht="27.95" customHeight="1">
      <c r="A22" s="212"/>
      <c r="B22" s="65" t="s">
        <v>55</v>
      </c>
      <c r="C22" s="48" t="s">
        <v>162</v>
      </c>
      <c r="D22" s="49" t="s">
        <v>34</v>
      </c>
      <c r="E22" s="54">
        <v>0.1</v>
      </c>
      <c r="F22" s="51" t="s">
        <v>28</v>
      </c>
      <c r="G22" s="69"/>
      <c r="H22" s="73" t="s">
        <v>162</v>
      </c>
      <c r="I22" s="49" t="s">
        <v>34</v>
      </c>
      <c r="J22" s="51">
        <f>ROUNDUP(E22*0.75,2)</f>
        <v>0.08</v>
      </c>
      <c r="K22" s="51" t="s">
        <v>28</v>
      </c>
      <c r="L22" s="51"/>
      <c r="M22" s="77" t="e">
        <f>#REF!</f>
        <v>#REF!</v>
      </c>
      <c r="N22" s="65" t="s">
        <v>14</v>
      </c>
      <c r="O22" s="52" t="s">
        <v>31</v>
      </c>
      <c r="P22" s="49"/>
      <c r="Q22" s="53">
        <v>100</v>
      </c>
      <c r="R22" s="85">
        <f>ROUNDUP(Q22*0.75,2)</f>
        <v>75</v>
      </c>
    </row>
    <row r="23" spans="1:18" ht="27.95" customHeight="1">
      <c r="A23" s="212"/>
      <c r="B23" s="65"/>
      <c r="C23" s="48" t="s">
        <v>37</v>
      </c>
      <c r="D23" s="49"/>
      <c r="E23" s="50">
        <v>2</v>
      </c>
      <c r="F23" s="51" t="s">
        <v>16</v>
      </c>
      <c r="G23" s="69"/>
      <c r="H23" s="73" t="s">
        <v>37</v>
      </c>
      <c r="I23" s="49"/>
      <c r="J23" s="51">
        <f>ROUNDUP(E23*0.75,2)</f>
        <v>1.5</v>
      </c>
      <c r="K23" s="51" t="s">
        <v>16</v>
      </c>
      <c r="L23" s="51"/>
      <c r="M23" s="77" t="e">
        <f>ROUND(#REF!+(#REF!*10/100),2)</f>
        <v>#REF!</v>
      </c>
      <c r="N23" s="65"/>
      <c r="O23" s="52" t="s">
        <v>57</v>
      </c>
      <c r="P23" s="49"/>
      <c r="Q23" s="53">
        <v>3</v>
      </c>
      <c r="R23" s="85">
        <f>ROUNDUP(Q23*0.75,2)</f>
        <v>2.25</v>
      </c>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169</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110</v>
      </c>
      <c r="C5" s="36" t="s">
        <v>111</v>
      </c>
      <c r="D5" s="37" t="s">
        <v>112</v>
      </c>
      <c r="E5" s="81">
        <v>0.5</v>
      </c>
      <c r="F5" s="39" t="s">
        <v>28</v>
      </c>
      <c r="G5" s="67"/>
      <c r="H5" s="71" t="s">
        <v>111</v>
      </c>
      <c r="I5" s="37" t="s">
        <v>112</v>
      </c>
      <c r="J5" s="39">
        <f>ROUNDUP(E5*0.75,2)</f>
        <v>0.38</v>
      </c>
      <c r="K5" s="39" t="s">
        <v>28</v>
      </c>
      <c r="L5" s="39"/>
      <c r="M5" s="75" t="e">
        <f>#REF!</f>
        <v>#REF!</v>
      </c>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170</v>
      </c>
      <c r="C7" s="48" t="s">
        <v>84</v>
      </c>
      <c r="D7" s="49"/>
      <c r="E7" s="50">
        <v>40</v>
      </c>
      <c r="F7" s="51" t="s">
        <v>16</v>
      </c>
      <c r="G7" s="69"/>
      <c r="H7" s="73" t="s">
        <v>84</v>
      </c>
      <c r="I7" s="49"/>
      <c r="J7" s="51">
        <f>ROUNDUP(E7*0.75,2)</f>
        <v>30</v>
      </c>
      <c r="K7" s="51" t="s">
        <v>16</v>
      </c>
      <c r="L7" s="51"/>
      <c r="M7" s="77" t="e">
        <f>#REF!</f>
        <v>#REF!</v>
      </c>
      <c r="N7" s="65" t="s">
        <v>171</v>
      </c>
      <c r="O7" s="52" t="s">
        <v>49</v>
      </c>
      <c r="P7" s="49"/>
      <c r="Q7" s="53">
        <v>0.5</v>
      </c>
      <c r="R7" s="85">
        <f t="shared" ref="R7:R12" si="0">ROUNDUP(Q7*0.75,2)</f>
        <v>0.38</v>
      </c>
    </row>
    <row r="8" spans="1:19" ht="27.95" customHeight="1">
      <c r="A8" s="212"/>
      <c r="B8" s="65"/>
      <c r="C8" s="48" t="s">
        <v>15</v>
      </c>
      <c r="D8" s="49"/>
      <c r="E8" s="50">
        <v>30</v>
      </c>
      <c r="F8" s="51" t="s">
        <v>16</v>
      </c>
      <c r="G8" s="69"/>
      <c r="H8" s="73" t="s">
        <v>15</v>
      </c>
      <c r="I8" s="49"/>
      <c r="J8" s="51">
        <f>ROUNDUP(E8*0.75,2)</f>
        <v>22.5</v>
      </c>
      <c r="K8" s="51" t="s">
        <v>16</v>
      </c>
      <c r="L8" s="51"/>
      <c r="M8" s="77" t="e">
        <f>ROUND(#REF!+(#REF!*6/100),2)</f>
        <v>#REF!</v>
      </c>
      <c r="N8" s="65" t="s">
        <v>172</v>
      </c>
      <c r="O8" s="52" t="s">
        <v>30</v>
      </c>
      <c r="P8" s="49"/>
      <c r="Q8" s="53">
        <v>2</v>
      </c>
      <c r="R8" s="85">
        <f t="shared" si="0"/>
        <v>1.5</v>
      </c>
    </row>
    <row r="9" spans="1:19" ht="27.95" customHeight="1">
      <c r="A9" s="212"/>
      <c r="B9" s="65"/>
      <c r="C9" s="48" t="s">
        <v>29</v>
      </c>
      <c r="D9" s="49"/>
      <c r="E9" s="50">
        <v>5</v>
      </c>
      <c r="F9" s="51" t="s">
        <v>16</v>
      </c>
      <c r="G9" s="69"/>
      <c r="H9" s="73" t="s">
        <v>29</v>
      </c>
      <c r="I9" s="49"/>
      <c r="J9" s="51">
        <f>ROUNDUP(E9*0.75,2)</f>
        <v>3.75</v>
      </c>
      <c r="K9" s="51" t="s">
        <v>16</v>
      </c>
      <c r="L9" s="51"/>
      <c r="M9" s="77" t="e">
        <f>ROUND(#REF!+(#REF!*10/100),2)</f>
        <v>#REF!</v>
      </c>
      <c r="N9" s="65" t="s">
        <v>47</v>
      </c>
      <c r="O9" s="52" t="s">
        <v>52</v>
      </c>
      <c r="P9" s="49"/>
      <c r="Q9" s="53">
        <v>3</v>
      </c>
      <c r="R9" s="85">
        <f t="shared" si="0"/>
        <v>2.25</v>
      </c>
    </row>
    <row r="10" spans="1:19" ht="27.95" customHeight="1">
      <c r="A10" s="212"/>
      <c r="B10" s="65"/>
      <c r="C10" s="48" t="s">
        <v>173</v>
      </c>
      <c r="D10" s="49"/>
      <c r="E10" s="50">
        <v>5</v>
      </c>
      <c r="F10" s="51" t="s">
        <v>16</v>
      </c>
      <c r="G10" s="69"/>
      <c r="H10" s="73" t="s">
        <v>173</v>
      </c>
      <c r="I10" s="49"/>
      <c r="J10" s="51">
        <f>ROUNDUP(E10*0.75,2)</f>
        <v>3.75</v>
      </c>
      <c r="K10" s="51" t="s">
        <v>16</v>
      </c>
      <c r="L10" s="51"/>
      <c r="M10" s="77" t="e">
        <f>#REF!</f>
        <v>#REF!</v>
      </c>
      <c r="N10" s="65"/>
      <c r="O10" s="52" t="s">
        <v>49</v>
      </c>
      <c r="P10" s="49"/>
      <c r="Q10" s="53">
        <v>1</v>
      </c>
      <c r="R10" s="85">
        <f t="shared" si="0"/>
        <v>0.75</v>
      </c>
    </row>
    <row r="11" spans="1:19" ht="27.95" customHeight="1">
      <c r="A11" s="212"/>
      <c r="B11" s="65"/>
      <c r="C11" s="48"/>
      <c r="D11" s="49"/>
      <c r="E11" s="50"/>
      <c r="F11" s="51"/>
      <c r="G11" s="69"/>
      <c r="H11" s="73"/>
      <c r="I11" s="49"/>
      <c r="J11" s="51"/>
      <c r="K11" s="51"/>
      <c r="L11" s="51"/>
      <c r="M11" s="77"/>
      <c r="N11" s="65"/>
      <c r="O11" s="52" t="s">
        <v>33</v>
      </c>
      <c r="P11" s="49" t="s">
        <v>34</v>
      </c>
      <c r="Q11" s="53">
        <v>1</v>
      </c>
      <c r="R11" s="85">
        <f t="shared" si="0"/>
        <v>0.75</v>
      </c>
    </row>
    <row r="12" spans="1:19" ht="27.95" customHeight="1">
      <c r="A12" s="212"/>
      <c r="B12" s="65"/>
      <c r="C12" s="48"/>
      <c r="D12" s="49"/>
      <c r="E12" s="50"/>
      <c r="F12" s="51"/>
      <c r="G12" s="69"/>
      <c r="H12" s="73"/>
      <c r="I12" s="49"/>
      <c r="J12" s="51"/>
      <c r="K12" s="51"/>
      <c r="L12" s="51"/>
      <c r="M12" s="77"/>
      <c r="N12" s="65"/>
      <c r="O12" s="52" t="s">
        <v>57</v>
      </c>
      <c r="P12" s="49"/>
      <c r="Q12" s="53">
        <v>2.5</v>
      </c>
      <c r="R12" s="85">
        <f t="shared" si="0"/>
        <v>1.8800000000000001</v>
      </c>
    </row>
    <row r="13" spans="1:19" ht="27.95" customHeight="1">
      <c r="A13" s="212"/>
      <c r="B13" s="64"/>
      <c r="C13" s="42"/>
      <c r="D13" s="43"/>
      <c r="E13" s="44"/>
      <c r="F13" s="45"/>
      <c r="G13" s="68"/>
      <c r="H13" s="72"/>
      <c r="I13" s="43"/>
      <c r="J13" s="45"/>
      <c r="K13" s="45"/>
      <c r="L13" s="45"/>
      <c r="M13" s="76"/>
      <c r="N13" s="64"/>
      <c r="O13" s="46"/>
      <c r="P13" s="43"/>
      <c r="Q13" s="47"/>
      <c r="R13" s="84"/>
    </row>
    <row r="14" spans="1:19" ht="27.95" customHeight="1">
      <c r="A14" s="212"/>
      <c r="B14" s="65" t="s">
        <v>174</v>
      </c>
      <c r="C14" s="48" t="s">
        <v>87</v>
      </c>
      <c r="D14" s="49"/>
      <c r="E14" s="50">
        <v>40</v>
      </c>
      <c r="F14" s="51" t="s">
        <v>16</v>
      </c>
      <c r="G14" s="69"/>
      <c r="H14" s="73" t="s">
        <v>87</v>
      </c>
      <c r="I14" s="49"/>
      <c r="J14" s="51">
        <f>ROUNDUP(E14*0.75,2)</f>
        <v>30</v>
      </c>
      <c r="K14" s="51" t="s">
        <v>16</v>
      </c>
      <c r="L14" s="51"/>
      <c r="M14" s="77" t="e">
        <f>ROUND(#REF!+(#REF!*6/100),2)</f>
        <v>#REF!</v>
      </c>
      <c r="N14" s="65" t="s">
        <v>175</v>
      </c>
      <c r="O14" s="52" t="s">
        <v>31</v>
      </c>
      <c r="P14" s="49"/>
      <c r="Q14" s="53">
        <v>2</v>
      </c>
      <c r="R14" s="85">
        <f>ROUNDUP(Q14*0.75,2)</f>
        <v>1.5</v>
      </c>
    </row>
    <row r="15" spans="1:19" ht="27.95" customHeight="1">
      <c r="A15" s="212"/>
      <c r="B15" s="65"/>
      <c r="C15" s="48" t="s">
        <v>86</v>
      </c>
      <c r="D15" s="49"/>
      <c r="E15" s="50">
        <v>0.5</v>
      </c>
      <c r="F15" s="51" t="s">
        <v>16</v>
      </c>
      <c r="G15" s="69"/>
      <c r="H15" s="73" t="s">
        <v>86</v>
      </c>
      <c r="I15" s="49"/>
      <c r="J15" s="51">
        <f>ROUNDUP(E15*0.75,2)</f>
        <v>0.38</v>
      </c>
      <c r="K15" s="51" t="s">
        <v>16</v>
      </c>
      <c r="L15" s="51"/>
      <c r="M15" s="77" t="e">
        <f>#REF!</f>
        <v>#REF!</v>
      </c>
      <c r="N15" s="65" t="s">
        <v>176</v>
      </c>
      <c r="O15" s="52" t="s">
        <v>32</v>
      </c>
      <c r="P15" s="49"/>
      <c r="Q15" s="53">
        <v>1</v>
      </c>
      <c r="R15" s="85">
        <f>ROUNDUP(Q15*0.75,2)</f>
        <v>0.75</v>
      </c>
    </row>
    <row r="16" spans="1:19" ht="27.95" customHeight="1">
      <c r="A16" s="212"/>
      <c r="B16" s="65"/>
      <c r="C16" s="48"/>
      <c r="D16" s="49"/>
      <c r="E16" s="50"/>
      <c r="F16" s="51"/>
      <c r="G16" s="69"/>
      <c r="H16" s="73"/>
      <c r="I16" s="49"/>
      <c r="J16" s="51"/>
      <c r="K16" s="51"/>
      <c r="L16" s="51"/>
      <c r="M16" s="77"/>
      <c r="N16" s="65" t="s">
        <v>14</v>
      </c>
      <c r="O16" s="52" t="s">
        <v>75</v>
      </c>
      <c r="P16" s="49"/>
      <c r="Q16" s="53">
        <v>2</v>
      </c>
      <c r="R16" s="85">
        <f>ROUNDUP(Q16*0.75,2)</f>
        <v>1.5</v>
      </c>
    </row>
    <row r="17" spans="1:18" ht="27.95" customHeight="1">
      <c r="A17" s="212"/>
      <c r="B17" s="65"/>
      <c r="C17" s="48"/>
      <c r="D17" s="49"/>
      <c r="E17" s="50"/>
      <c r="F17" s="51"/>
      <c r="G17" s="69"/>
      <c r="H17" s="73"/>
      <c r="I17" s="49"/>
      <c r="J17" s="51"/>
      <c r="K17" s="51"/>
      <c r="L17" s="51"/>
      <c r="M17" s="77"/>
      <c r="N17" s="65"/>
      <c r="O17" s="52" t="s">
        <v>33</v>
      </c>
      <c r="P17" s="49" t="s">
        <v>34</v>
      </c>
      <c r="Q17" s="53">
        <v>1</v>
      </c>
      <c r="R17" s="85">
        <f>ROUNDUP(Q17*0.75,2)</f>
        <v>0.75</v>
      </c>
    </row>
    <row r="18" spans="1:18" ht="27.95" customHeight="1">
      <c r="A18" s="212"/>
      <c r="B18" s="64"/>
      <c r="C18" s="42"/>
      <c r="D18" s="43"/>
      <c r="E18" s="44"/>
      <c r="F18" s="45"/>
      <c r="G18" s="68"/>
      <c r="H18" s="72"/>
      <c r="I18" s="43"/>
      <c r="J18" s="45"/>
      <c r="K18" s="45"/>
      <c r="L18" s="45"/>
      <c r="M18" s="76"/>
      <c r="N18" s="64"/>
      <c r="O18" s="46"/>
      <c r="P18" s="43"/>
      <c r="Q18" s="47"/>
      <c r="R18" s="84"/>
    </row>
    <row r="19" spans="1:18" ht="27.95" customHeight="1">
      <c r="A19" s="212"/>
      <c r="B19" s="65" t="s">
        <v>35</v>
      </c>
      <c r="C19" s="48" t="s">
        <v>89</v>
      </c>
      <c r="D19" s="49"/>
      <c r="E19" s="50">
        <v>5</v>
      </c>
      <c r="F19" s="51" t="s">
        <v>16</v>
      </c>
      <c r="G19" s="69"/>
      <c r="H19" s="73" t="s">
        <v>89</v>
      </c>
      <c r="I19" s="49"/>
      <c r="J19" s="51">
        <f>ROUNDUP(E19*0.75,2)</f>
        <v>3.75</v>
      </c>
      <c r="K19" s="51" t="s">
        <v>16</v>
      </c>
      <c r="L19" s="51"/>
      <c r="M19" s="77" t="e">
        <f>ROUND(#REF!+(#REF!*10/100),2)</f>
        <v>#REF!</v>
      </c>
      <c r="N19" s="65" t="s">
        <v>14</v>
      </c>
      <c r="O19" s="52" t="s">
        <v>31</v>
      </c>
      <c r="P19" s="49"/>
      <c r="Q19" s="53">
        <v>100</v>
      </c>
      <c r="R19" s="85">
        <f>ROUNDUP(Q19*0.75,2)</f>
        <v>75</v>
      </c>
    </row>
    <row r="20" spans="1:18" ht="27.95" customHeight="1">
      <c r="A20" s="212"/>
      <c r="B20" s="65"/>
      <c r="C20" s="48" t="s">
        <v>146</v>
      </c>
      <c r="D20" s="49"/>
      <c r="E20" s="50">
        <v>3</v>
      </c>
      <c r="F20" s="51" t="s">
        <v>16</v>
      </c>
      <c r="G20" s="69"/>
      <c r="H20" s="73" t="s">
        <v>146</v>
      </c>
      <c r="I20" s="49"/>
      <c r="J20" s="51">
        <f>ROUNDUP(E20*0.75,2)</f>
        <v>2.25</v>
      </c>
      <c r="K20" s="51" t="s">
        <v>16</v>
      </c>
      <c r="L20" s="51"/>
      <c r="M20" s="77" t="e">
        <f>#REF!</f>
        <v>#REF!</v>
      </c>
      <c r="N20" s="65"/>
      <c r="O20" s="52" t="s">
        <v>19</v>
      </c>
      <c r="P20" s="49"/>
      <c r="Q20" s="53">
        <v>0.1</v>
      </c>
      <c r="R20" s="85">
        <f>ROUNDUP(Q20*0.75,2)</f>
        <v>0.08</v>
      </c>
    </row>
    <row r="21" spans="1:18" ht="27.95" customHeight="1">
      <c r="A21" s="212"/>
      <c r="B21" s="65"/>
      <c r="C21" s="48"/>
      <c r="D21" s="49"/>
      <c r="E21" s="50"/>
      <c r="F21" s="51"/>
      <c r="G21" s="69"/>
      <c r="H21" s="73"/>
      <c r="I21" s="49"/>
      <c r="J21" s="51"/>
      <c r="K21" s="51"/>
      <c r="L21" s="51"/>
      <c r="M21" s="77"/>
      <c r="N21" s="65"/>
      <c r="O21" s="52" t="s">
        <v>33</v>
      </c>
      <c r="P21" s="49" t="s">
        <v>34</v>
      </c>
      <c r="Q21" s="53">
        <v>0.5</v>
      </c>
      <c r="R21" s="85">
        <f>ROUNDUP(Q21*0.75,2)</f>
        <v>0.38</v>
      </c>
    </row>
    <row r="22" spans="1:18" ht="27.95" customHeight="1" thickBot="1">
      <c r="A22" s="213"/>
      <c r="B22" s="66"/>
      <c r="C22" s="55"/>
      <c r="D22" s="56"/>
      <c r="E22" s="57"/>
      <c r="F22" s="58"/>
      <c r="G22" s="70"/>
      <c r="H22" s="74"/>
      <c r="I22" s="56"/>
      <c r="J22" s="58"/>
      <c r="K22" s="58"/>
      <c r="L22" s="58"/>
      <c r="M22" s="78"/>
      <c r="N22" s="66"/>
      <c r="O22" s="59"/>
      <c r="P22" s="56"/>
      <c r="Q22" s="60"/>
      <c r="R22" s="87"/>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177</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13</v>
      </c>
      <c r="C5" s="36"/>
      <c r="D5" s="37"/>
      <c r="E5" s="38"/>
      <c r="F5" s="39"/>
      <c r="G5" s="67"/>
      <c r="H5" s="71"/>
      <c r="I5" s="37"/>
      <c r="J5" s="39"/>
      <c r="K5" s="39"/>
      <c r="L5" s="39"/>
      <c r="M5" s="75"/>
      <c r="N5" s="63"/>
      <c r="O5" s="40" t="s">
        <v>13</v>
      </c>
      <c r="P5" s="37"/>
      <c r="Q5" s="41">
        <v>110</v>
      </c>
      <c r="R5" s="83">
        <f>ROUNDUP(Q5*0.75,2)</f>
        <v>82.5</v>
      </c>
    </row>
    <row r="6" spans="1:19" ht="27.95" customHeight="1">
      <c r="A6" s="212"/>
      <c r="B6" s="64"/>
      <c r="C6" s="42"/>
      <c r="D6" s="43"/>
      <c r="E6" s="44"/>
      <c r="F6" s="45"/>
      <c r="G6" s="68"/>
      <c r="H6" s="72"/>
      <c r="I6" s="43"/>
      <c r="J6" s="45"/>
      <c r="K6" s="45"/>
      <c r="L6" s="45"/>
      <c r="M6" s="76"/>
      <c r="N6" s="64"/>
      <c r="O6" s="46"/>
      <c r="P6" s="43"/>
      <c r="Q6" s="47"/>
      <c r="R6" s="84"/>
    </row>
    <row r="7" spans="1:19" ht="27.95" customHeight="1">
      <c r="A7" s="212"/>
      <c r="B7" s="65" t="s">
        <v>178</v>
      </c>
      <c r="C7" s="48" t="s">
        <v>147</v>
      </c>
      <c r="D7" s="49"/>
      <c r="E7" s="50">
        <v>1</v>
      </c>
      <c r="F7" s="51" t="s">
        <v>48</v>
      </c>
      <c r="G7" s="69" t="s">
        <v>27</v>
      </c>
      <c r="H7" s="73" t="s">
        <v>147</v>
      </c>
      <c r="I7" s="49"/>
      <c r="J7" s="51">
        <f>ROUNDUP(E7*0.75,2)</f>
        <v>0.75</v>
      </c>
      <c r="K7" s="51" t="s">
        <v>48</v>
      </c>
      <c r="L7" s="51" t="s">
        <v>27</v>
      </c>
      <c r="M7" s="77" t="e">
        <f>#REF!</f>
        <v>#REF!</v>
      </c>
      <c r="N7" s="65" t="s">
        <v>179</v>
      </c>
      <c r="O7" s="52" t="s">
        <v>44</v>
      </c>
      <c r="P7" s="49" t="s">
        <v>34</v>
      </c>
      <c r="Q7" s="53">
        <v>3</v>
      </c>
      <c r="R7" s="85">
        <f>ROUNDUP(Q7*0.75,2)</f>
        <v>2.25</v>
      </c>
    </row>
    <row r="8" spans="1:19" ht="27.95" customHeight="1">
      <c r="A8" s="212"/>
      <c r="B8" s="65"/>
      <c r="C8" s="48" t="s">
        <v>21</v>
      </c>
      <c r="D8" s="49" t="s">
        <v>22</v>
      </c>
      <c r="E8" s="61">
        <v>0.25</v>
      </c>
      <c r="F8" s="51" t="s">
        <v>23</v>
      </c>
      <c r="G8" s="69"/>
      <c r="H8" s="73" t="s">
        <v>21</v>
      </c>
      <c r="I8" s="49" t="s">
        <v>22</v>
      </c>
      <c r="J8" s="51">
        <f>ROUNDUP(E8*0.75,2)</f>
        <v>0.19</v>
      </c>
      <c r="K8" s="51" t="s">
        <v>23</v>
      </c>
      <c r="L8" s="51"/>
      <c r="M8" s="77" t="e">
        <f>#REF!</f>
        <v>#REF!</v>
      </c>
      <c r="N8" s="65" t="s">
        <v>180</v>
      </c>
      <c r="O8" s="52" t="s">
        <v>18</v>
      </c>
      <c r="P8" s="49"/>
      <c r="Q8" s="53">
        <v>2</v>
      </c>
      <c r="R8" s="85">
        <f>ROUNDUP(Q8*0.75,2)</f>
        <v>1.5</v>
      </c>
    </row>
    <row r="9" spans="1:19" ht="27.95" customHeight="1">
      <c r="A9" s="212"/>
      <c r="B9" s="65"/>
      <c r="C9" s="48" t="s">
        <v>164</v>
      </c>
      <c r="D9" s="49"/>
      <c r="E9" s="50">
        <v>5</v>
      </c>
      <c r="F9" s="51" t="s">
        <v>16</v>
      </c>
      <c r="G9" s="69"/>
      <c r="H9" s="73" t="s">
        <v>164</v>
      </c>
      <c r="I9" s="49"/>
      <c r="J9" s="51">
        <f>ROUNDUP(E9*0.75,2)</f>
        <v>3.75</v>
      </c>
      <c r="K9" s="51" t="s">
        <v>16</v>
      </c>
      <c r="L9" s="51"/>
      <c r="M9" s="77" t="e">
        <f>ROUND(#REF!+(#REF!*10/100),2)</f>
        <v>#REF!</v>
      </c>
      <c r="N9" s="65" t="s">
        <v>181</v>
      </c>
      <c r="O9" s="52" t="s">
        <v>148</v>
      </c>
      <c r="P9" s="49" t="s">
        <v>149</v>
      </c>
      <c r="Q9" s="53">
        <v>4</v>
      </c>
      <c r="R9" s="85">
        <f>ROUNDUP(Q9*0.75,2)</f>
        <v>3</v>
      </c>
    </row>
    <row r="10" spans="1:19" ht="27.95" customHeight="1">
      <c r="A10" s="212"/>
      <c r="B10" s="65"/>
      <c r="C10" s="48" t="s">
        <v>25</v>
      </c>
      <c r="D10" s="49"/>
      <c r="E10" s="50">
        <v>20</v>
      </c>
      <c r="F10" s="51" t="s">
        <v>16</v>
      </c>
      <c r="G10" s="69"/>
      <c r="H10" s="73" t="s">
        <v>25</v>
      </c>
      <c r="I10" s="49"/>
      <c r="J10" s="51">
        <f>ROUNDUP(E10*0.75,2)</f>
        <v>15</v>
      </c>
      <c r="K10" s="51" t="s">
        <v>16</v>
      </c>
      <c r="L10" s="51"/>
      <c r="M10" s="77" t="e">
        <f>ROUND(#REF!+(#REF!*3/100),2)</f>
        <v>#REF!</v>
      </c>
      <c r="N10" s="65" t="s">
        <v>182</v>
      </c>
      <c r="O10" s="52" t="s">
        <v>19</v>
      </c>
      <c r="P10" s="49"/>
      <c r="Q10" s="53">
        <v>0.1</v>
      </c>
      <c r="R10" s="85">
        <f>ROUNDUP(Q10*0.75,2)</f>
        <v>0.08</v>
      </c>
    </row>
    <row r="11" spans="1:19" ht="27.95" customHeight="1">
      <c r="A11" s="212"/>
      <c r="B11" s="65"/>
      <c r="C11" s="48"/>
      <c r="D11" s="49"/>
      <c r="E11" s="50"/>
      <c r="F11" s="51"/>
      <c r="G11" s="69"/>
      <c r="H11" s="73"/>
      <c r="I11" s="49"/>
      <c r="J11" s="51"/>
      <c r="K11" s="51"/>
      <c r="L11" s="51"/>
      <c r="M11" s="77"/>
      <c r="N11" s="65" t="s">
        <v>47</v>
      </c>
      <c r="O11" s="52" t="s">
        <v>20</v>
      </c>
      <c r="P11" s="49"/>
      <c r="Q11" s="53">
        <v>0.01</v>
      </c>
      <c r="R11" s="85">
        <f>ROUNDUP(Q11*0.75,2)</f>
        <v>0.01</v>
      </c>
    </row>
    <row r="12" spans="1:19" ht="27.95" customHeight="1">
      <c r="A12" s="212"/>
      <c r="B12" s="65"/>
      <c r="C12" s="48"/>
      <c r="D12" s="49"/>
      <c r="E12" s="50"/>
      <c r="F12" s="51"/>
      <c r="G12" s="69"/>
      <c r="H12" s="73"/>
      <c r="I12" s="49"/>
      <c r="J12" s="51"/>
      <c r="K12" s="51"/>
      <c r="L12" s="51"/>
      <c r="M12" s="77"/>
      <c r="N12" s="65" t="s">
        <v>163</v>
      </c>
      <c r="O12" s="52"/>
      <c r="P12" s="49"/>
      <c r="Q12" s="53"/>
      <c r="R12" s="85"/>
    </row>
    <row r="13" spans="1:19" ht="27.95" customHeight="1">
      <c r="A13" s="212"/>
      <c r="B13" s="65"/>
      <c r="C13" s="48"/>
      <c r="D13" s="49"/>
      <c r="E13" s="50"/>
      <c r="F13" s="51"/>
      <c r="G13" s="69"/>
      <c r="H13" s="73"/>
      <c r="I13" s="49"/>
      <c r="J13" s="51"/>
      <c r="K13" s="51"/>
      <c r="L13" s="51"/>
      <c r="M13" s="77"/>
      <c r="N13" s="65"/>
      <c r="O13" s="52"/>
      <c r="P13" s="49"/>
      <c r="Q13" s="53"/>
      <c r="R13" s="85"/>
    </row>
    <row r="14" spans="1:19" ht="27.95" customHeight="1">
      <c r="A14" s="212"/>
      <c r="B14" s="64"/>
      <c r="C14" s="42"/>
      <c r="D14" s="43"/>
      <c r="E14" s="44"/>
      <c r="F14" s="45"/>
      <c r="G14" s="68"/>
      <c r="H14" s="72"/>
      <c r="I14" s="43"/>
      <c r="J14" s="45"/>
      <c r="K14" s="45"/>
      <c r="L14" s="45"/>
      <c r="M14" s="76"/>
      <c r="N14" s="64"/>
      <c r="O14" s="46"/>
      <c r="P14" s="43"/>
      <c r="Q14" s="47"/>
      <c r="R14" s="84"/>
    </row>
    <row r="15" spans="1:19" ht="27.95" customHeight="1">
      <c r="A15" s="212"/>
      <c r="B15" s="65" t="s">
        <v>183</v>
      </c>
      <c r="C15" s="48" t="s">
        <v>71</v>
      </c>
      <c r="D15" s="49"/>
      <c r="E15" s="61">
        <v>0.25</v>
      </c>
      <c r="F15" s="51" t="s">
        <v>72</v>
      </c>
      <c r="G15" s="69"/>
      <c r="H15" s="73" t="s">
        <v>71</v>
      </c>
      <c r="I15" s="49"/>
      <c r="J15" s="51">
        <f>ROUNDUP(E15*0.75,2)</f>
        <v>0.19</v>
      </c>
      <c r="K15" s="51" t="s">
        <v>72</v>
      </c>
      <c r="L15" s="51"/>
      <c r="M15" s="77" t="e">
        <f>#REF!</f>
        <v>#REF!</v>
      </c>
      <c r="N15" s="65" t="s">
        <v>165</v>
      </c>
      <c r="O15" s="52" t="s">
        <v>30</v>
      </c>
      <c r="P15" s="49"/>
      <c r="Q15" s="53">
        <v>1</v>
      </c>
      <c r="R15" s="85">
        <f>ROUNDUP(Q15*0.75,2)</f>
        <v>0.75</v>
      </c>
    </row>
    <row r="16" spans="1:19" ht="27.95" customHeight="1">
      <c r="A16" s="212"/>
      <c r="B16" s="65"/>
      <c r="C16" s="48" t="s">
        <v>53</v>
      </c>
      <c r="D16" s="49"/>
      <c r="E16" s="50">
        <v>20</v>
      </c>
      <c r="F16" s="51" t="s">
        <v>16</v>
      </c>
      <c r="G16" s="69"/>
      <c r="H16" s="73" t="s">
        <v>53</v>
      </c>
      <c r="I16" s="49"/>
      <c r="J16" s="51">
        <f>ROUNDUP(E16*0.75,2)</f>
        <v>15</v>
      </c>
      <c r="K16" s="51" t="s">
        <v>16</v>
      </c>
      <c r="L16" s="51"/>
      <c r="M16" s="77" t="e">
        <f>ROUND(#REF!+(#REF!*15/100),2)</f>
        <v>#REF!</v>
      </c>
      <c r="N16" s="65" t="s">
        <v>184</v>
      </c>
      <c r="O16" s="52" t="s">
        <v>31</v>
      </c>
      <c r="P16" s="49"/>
      <c r="Q16" s="53">
        <v>30</v>
      </c>
      <c r="R16" s="85">
        <f>ROUNDUP(Q16*0.75,2)</f>
        <v>22.5</v>
      </c>
    </row>
    <row r="17" spans="1:18" ht="27.95" customHeight="1">
      <c r="A17" s="212"/>
      <c r="B17" s="65"/>
      <c r="C17" s="48" t="s">
        <v>29</v>
      </c>
      <c r="D17" s="49"/>
      <c r="E17" s="50">
        <v>10</v>
      </c>
      <c r="F17" s="51" t="s">
        <v>16</v>
      </c>
      <c r="G17" s="69"/>
      <c r="H17" s="73" t="s">
        <v>29</v>
      </c>
      <c r="I17" s="49"/>
      <c r="J17" s="51">
        <f>ROUNDUP(E17*0.75,2)</f>
        <v>7.5</v>
      </c>
      <c r="K17" s="51" t="s">
        <v>16</v>
      </c>
      <c r="L17" s="51"/>
      <c r="M17" s="77" t="e">
        <f>ROUND(#REF!+(#REF!*10/100),2)</f>
        <v>#REF!</v>
      </c>
      <c r="N17" s="65" t="s">
        <v>14</v>
      </c>
      <c r="O17" s="52" t="s">
        <v>52</v>
      </c>
      <c r="P17" s="49"/>
      <c r="Q17" s="53">
        <v>3</v>
      </c>
      <c r="R17" s="85">
        <f>ROUNDUP(Q17*0.75,2)</f>
        <v>2.25</v>
      </c>
    </row>
    <row r="18" spans="1:18" ht="27.95" customHeight="1">
      <c r="A18" s="212"/>
      <c r="B18" s="65"/>
      <c r="C18" s="48"/>
      <c r="D18" s="49"/>
      <c r="E18" s="50"/>
      <c r="F18" s="51"/>
      <c r="G18" s="69"/>
      <c r="H18" s="73"/>
      <c r="I18" s="49"/>
      <c r="J18" s="51"/>
      <c r="K18" s="51"/>
      <c r="L18" s="51"/>
      <c r="M18" s="77"/>
      <c r="N18" s="65"/>
      <c r="O18" s="52" t="s">
        <v>33</v>
      </c>
      <c r="P18" s="49" t="s">
        <v>34</v>
      </c>
      <c r="Q18" s="53">
        <v>2</v>
      </c>
      <c r="R18" s="85">
        <f>ROUNDUP(Q18*0.75,2)</f>
        <v>1.5</v>
      </c>
    </row>
    <row r="19" spans="1:18" ht="27.95" customHeight="1">
      <c r="A19" s="212"/>
      <c r="B19" s="64"/>
      <c r="C19" s="42"/>
      <c r="D19" s="43"/>
      <c r="E19" s="44"/>
      <c r="F19" s="45"/>
      <c r="G19" s="68"/>
      <c r="H19" s="72"/>
      <c r="I19" s="43"/>
      <c r="J19" s="45"/>
      <c r="K19" s="45"/>
      <c r="L19" s="45"/>
      <c r="M19" s="76"/>
      <c r="N19" s="64"/>
      <c r="O19" s="46"/>
      <c r="P19" s="43"/>
      <c r="Q19" s="47"/>
      <c r="R19" s="84"/>
    </row>
    <row r="20" spans="1:18" ht="27.95" customHeight="1">
      <c r="A20" s="212"/>
      <c r="B20" s="65" t="s">
        <v>55</v>
      </c>
      <c r="C20" s="48" t="s">
        <v>36</v>
      </c>
      <c r="D20" s="49"/>
      <c r="E20" s="50">
        <v>20</v>
      </c>
      <c r="F20" s="51" t="s">
        <v>16</v>
      </c>
      <c r="G20" s="69"/>
      <c r="H20" s="73" t="s">
        <v>36</v>
      </c>
      <c r="I20" s="49"/>
      <c r="J20" s="51">
        <f>ROUNDUP(E20*0.75,2)</f>
        <v>15</v>
      </c>
      <c r="K20" s="51" t="s">
        <v>16</v>
      </c>
      <c r="L20" s="51"/>
      <c r="M20" s="77" t="e">
        <f>ROUND(#REF!+(#REF!*15/100),2)</f>
        <v>#REF!</v>
      </c>
      <c r="N20" s="65" t="s">
        <v>14</v>
      </c>
      <c r="O20" s="52" t="s">
        <v>31</v>
      </c>
      <c r="P20" s="49"/>
      <c r="Q20" s="53">
        <v>100</v>
      </c>
      <c r="R20" s="85">
        <f>ROUNDUP(Q20*0.75,2)</f>
        <v>75</v>
      </c>
    </row>
    <row r="21" spans="1:18" ht="27.95" customHeight="1">
      <c r="A21" s="212"/>
      <c r="B21" s="65"/>
      <c r="C21" s="48" t="s">
        <v>90</v>
      </c>
      <c r="D21" s="49" t="s">
        <v>34</v>
      </c>
      <c r="E21" s="54">
        <v>0.1</v>
      </c>
      <c r="F21" s="51" t="s">
        <v>28</v>
      </c>
      <c r="G21" s="69"/>
      <c r="H21" s="73" t="s">
        <v>90</v>
      </c>
      <c r="I21" s="49" t="s">
        <v>34</v>
      </c>
      <c r="J21" s="51">
        <f>ROUNDUP(E21*0.75,2)</f>
        <v>0.08</v>
      </c>
      <c r="K21" s="51" t="s">
        <v>28</v>
      </c>
      <c r="L21" s="51"/>
      <c r="M21" s="77" t="e">
        <f>#REF!</f>
        <v>#REF!</v>
      </c>
      <c r="N21" s="65"/>
      <c r="O21" s="52" t="s">
        <v>57</v>
      </c>
      <c r="P21" s="49"/>
      <c r="Q21" s="53">
        <v>3</v>
      </c>
      <c r="R21" s="85">
        <f>ROUNDUP(Q21*0.75,2)</f>
        <v>2.25</v>
      </c>
    </row>
    <row r="22" spans="1:18" ht="27.95" customHeight="1">
      <c r="A22" s="212"/>
      <c r="B22" s="64"/>
      <c r="C22" s="42"/>
      <c r="D22" s="43"/>
      <c r="E22" s="44"/>
      <c r="F22" s="45"/>
      <c r="G22" s="68"/>
      <c r="H22" s="72"/>
      <c r="I22" s="43"/>
      <c r="J22" s="45"/>
      <c r="K22" s="45"/>
      <c r="L22" s="45"/>
      <c r="M22" s="76"/>
      <c r="N22" s="64"/>
      <c r="O22" s="46"/>
      <c r="P22" s="43"/>
      <c r="Q22" s="47"/>
      <c r="R22" s="84"/>
    </row>
    <row r="23" spans="1:18" ht="27.95" customHeight="1">
      <c r="A23" s="212"/>
      <c r="B23" s="65" t="s">
        <v>113</v>
      </c>
      <c r="C23" s="48" t="s">
        <v>114</v>
      </c>
      <c r="D23" s="49"/>
      <c r="E23" s="62">
        <v>0.16666666666666666</v>
      </c>
      <c r="F23" s="51" t="s">
        <v>23</v>
      </c>
      <c r="G23" s="69"/>
      <c r="H23" s="73" t="s">
        <v>114</v>
      </c>
      <c r="I23" s="49"/>
      <c r="J23" s="51">
        <f>ROUNDUP(E23*0.75,2)</f>
        <v>0.13</v>
      </c>
      <c r="K23" s="51" t="s">
        <v>23</v>
      </c>
      <c r="L23" s="51"/>
      <c r="M23" s="77" t="e">
        <f>#REF!</f>
        <v>#REF!</v>
      </c>
      <c r="N23" s="65" t="s">
        <v>59</v>
      </c>
      <c r="O23" s="52"/>
      <c r="P23" s="49"/>
      <c r="Q23" s="53"/>
      <c r="R23" s="85"/>
    </row>
    <row r="24" spans="1:18" ht="27.95" customHeight="1" thickBot="1">
      <c r="A24" s="213"/>
      <c r="B24" s="66"/>
      <c r="C24" s="55"/>
      <c r="D24" s="56"/>
      <c r="E24" s="57"/>
      <c r="F24" s="58"/>
      <c r="G24" s="70"/>
      <c r="H24" s="74"/>
      <c r="I24" s="56"/>
      <c r="J24" s="58"/>
      <c r="K24" s="58"/>
      <c r="L24" s="58"/>
      <c r="M24" s="78"/>
      <c r="N24" s="66"/>
      <c r="O24" s="59"/>
      <c r="P24" s="56"/>
      <c r="Q24" s="60"/>
      <c r="R24" s="87"/>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c r="A1" s="1" t="s">
        <v>12</v>
      </c>
      <c r="B1" s="1"/>
      <c r="C1" s="2"/>
      <c r="D1" s="3"/>
      <c r="E1" s="2"/>
      <c r="F1" s="2"/>
      <c r="G1" s="2"/>
      <c r="H1" s="207"/>
      <c r="I1" s="207"/>
      <c r="J1" s="208"/>
      <c r="K1" s="208"/>
      <c r="L1" s="208"/>
      <c r="M1" s="208"/>
      <c r="N1" s="208"/>
      <c r="O1" s="2"/>
      <c r="P1" s="2"/>
      <c r="Q1" s="4"/>
      <c r="R1" s="4"/>
      <c r="S1" s="3"/>
    </row>
    <row r="2" spans="1:19" ht="36.75" customHeight="1">
      <c r="A2" s="207" t="s">
        <v>0</v>
      </c>
      <c r="B2" s="207"/>
      <c r="C2" s="208"/>
      <c r="D2" s="208"/>
      <c r="E2" s="208"/>
      <c r="F2" s="208"/>
      <c r="G2" s="208"/>
      <c r="H2" s="208"/>
      <c r="I2" s="208"/>
      <c r="J2" s="208"/>
      <c r="K2" s="208"/>
      <c r="L2" s="208"/>
      <c r="M2" s="208"/>
      <c r="N2" s="208"/>
      <c r="O2" s="208"/>
      <c r="P2" s="208"/>
      <c r="Q2" s="208"/>
      <c r="R2" s="208"/>
      <c r="S2" s="3"/>
    </row>
    <row r="3" spans="1:19" ht="27.75" customHeight="1" thickBot="1">
      <c r="A3" s="209" t="s">
        <v>186</v>
      </c>
      <c r="B3" s="210"/>
      <c r="C3" s="210"/>
      <c r="D3" s="210"/>
      <c r="E3" s="210"/>
      <c r="F3" s="210"/>
      <c r="G3" s="2"/>
      <c r="H3" s="2"/>
      <c r="I3" s="12"/>
      <c r="J3" s="2"/>
      <c r="K3" s="7"/>
      <c r="L3" s="7"/>
      <c r="M3" s="10"/>
      <c r="N3" s="2"/>
      <c r="O3" s="13"/>
      <c r="P3" s="12"/>
      <c r="Q3" s="14"/>
      <c r="R3" s="14"/>
      <c r="S3" s="11"/>
    </row>
    <row r="4" spans="1:19" customFormat="1" ht="42" customHeight="1" thickBot="1">
      <c r="A4" s="15"/>
      <c r="B4" s="16" t="s">
        <v>1</v>
      </c>
      <c r="C4" s="17" t="s">
        <v>2</v>
      </c>
      <c r="D4" s="18" t="s">
        <v>272</v>
      </c>
      <c r="E4" s="34" t="s">
        <v>6</v>
      </c>
      <c r="F4" s="19" t="s">
        <v>4</v>
      </c>
      <c r="G4" s="17" t="s">
        <v>5</v>
      </c>
      <c r="H4" s="16" t="s">
        <v>2</v>
      </c>
      <c r="I4" s="18" t="s">
        <v>272</v>
      </c>
      <c r="J4" s="35" t="s">
        <v>3</v>
      </c>
      <c r="K4" s="19" t="s">
        <v>4</v>
      </c>
      <c r="L4" s="19" t="s">
        <v>5</v>
      </c>
      <c r="M4" s="21" t="s">
        <v>7</v>
      </c>
      <c r="N4" s="22" t="s">
        <v>8</v>
      </c>
      <c r="O4" s="19" t="s">
        <v>9</v>
      </c>
      <c r="P4" s="23" t="s">
        <v>272</v>
      </c>
      <c r="Q4" s="20" t="s">
        <v>11</v>
      </c>
      <c r="R4" s="24" t="s">
        <v>10</v>
      </c>
      <c r="S4" s="25"/>
    </row>
    <row r="5" spans="1:19" ht="27.95" customHeight="1">
      <c r="A5" s="211" t="s">
        <v>38</v>
      </c>
      <c r="B5" s="63" t="s">
        <v>187</v>
      </c>
      <c r="C5" s="36" t="s">
        <v>167</v>
      </c>
      <c r="D5" s="37" t="s">
        <v>168</v>
      </c>
      <c r="E5" s="38">
        <v>40</v>
      </c>
      <c r="F5" s="39" t="s">
        <v>16</v>
      </c>
      <c r="G5" s="67"/>
      <c r="H5" s="71" t="s">
        <v>167</v>
      </c>
      <c r="I5" s="37" t="s">
        <v>168</v>
      </c>
      <c r="J5" s="39">
        <f t="shared" ref="J5:J10" si="0">ROUNDUP(E5*0.75,2)</f>
        <v>30</v>
      </c>
      <c r="K5" s="39" t="s">
        <v>16</v>
      </c>
      <c r="L5" s="39"/>
      <c r="M5" s="75" t="e">
        <f>#REF!</f>
        <v>#REF!</v>
      </c>
      <c r="N5" s="63" t="s">
        <v>188</v>
      </c>
      <c r="O5" s="40" t="s">
        <v>18</v>
      </c>
      <c r="P5" s="37"/>
      <c r="Q5" s="41">
        <v>2</v>
      </c>
      <c r="R5" s="83">
        <f t="shared" ref="R5:R10" si="1">ROUNDUP(Q5*0.75,2)</f>
        <v>1.5</v>
      </c>
    </row>
    <row r="6" spans="1:19" ht="27.95" customHeight="1">
      <c r="A6" s="212"/>
      <c r="B6" s="65"/>
      <c r="C6" s="48" t="s">
        <v>67</v>
      </c>
      <c r="D6" s="49"/>
      <c r="E6" s="50">
        <v>20</v>
      </c>
      <c r="F6" s="51" t="s">
        <v>16</v>
      </c>
      <c r="G6" s="69"/>
      <c r="H6" s="73" t="s">
        <v>67</v>
      </c>
      <c r="I6" s="49"/>
      <c r="J6" s="51">
        <f t="shared" si="0"/>
        <v>15</v>
      </c>
      <c r="K6" s="51" t="s">
        <v>16</v>
      </c>
      <c r="L6" s="51"/>
      <c r="M6" s="77" t="e">
        <f>#REF!</f>
        <v>#REF!</v>
      </c>
      <c r="N6" s="65" t="s">
        <v>244</v>
      </c>
      <c r="O6" s="52" t="s">
        <v>31</v>
      </c>
      <c r="P6" s="49"/>
      <c r="Q6" s="53">
        <v>180</v>
      </c>
      <c r="R6" s="85">
        <f t="shared" si="1"/>
        <v>135</v>
      </c>
    </row>
    <row r="7" spans="1:19" ht="27.95" customHeight="1">
      <c r="A7" s="212"/>
      <c r="B7" s="65"/>
      <c r="C7" s="48" t="s">
        <v>15</v>
      </c>
      <c r="D7" s="49"/>
      <c r="E7" s="50">
        <v>30</v>
      </c>
      <c r="F7" s="51" t="s">
        <v>16</v>
      </c>
      <c r="G7" s="69"/>
      <c r="H7" s="73" t="s">
        <v>15</v>
      </c>
      <c r="I7" s="49"/>
      <c r="J7" s="51">
        <f t="shared" si="0"/>
        <v>22.5</v>
      </c>
      <c r="K7" s="51" t="s">
        <v>16</v>
      </c>
      <c r="L7" s="51"/>
      <c r="M7" s="77" t="e">
        <f>ROUND(#REF!+(#REF!*6/100),2)</f>
        <v>#REF!</v>
      </c>
      <c r="N7" s="65" t="s">
        <v>245</v>
      </c>
      <c r="O7" s="52" t="s">
        <v>32</v>
      </c>
      <c r="P7" s="49"/>
      <c r="Q7" s="53">
        <v>1</v>
      </c>
      <c r="R7" s="85">
        <f t="shared" si="1"/>
        <v>0.75</v>
      </c>
    </row>
    <row r="8" spans="1:19" ht="27.95" customHeight="1">
      <c r="A8" s="212"/>
      <c r="B8" s="65"/>
      <c r="C8" s="48" t="s">
        <v>29</v>
      </c>
      <c r="D8" s="49"/>
      <c r="E8" s="50">
        <v>10</v>
      </c>
      <c r="F8" s="51" t="s">
        <v>16</v>
      </c>
      <c r="G8" s="69"/>
      <c r="H8" s="73" t="s">
        <v>29</v>
      </c>
      <c r="I8" s="49"/>
      <c r="J8" s="51">
        <f t="shared" si="0"/>
        <v>7.5</v>
      </c>
      <c r="K8" s="51" t="s">
        <v>16</v>
      </c>
      <c r="L8" s="51"/>
      <c r="M8" s="77" t="e">
        <f>ROUND(#REF!+(#REF!*10/100),2)</f>
        <v>#REF!</v>
      </c>
      <c r="N8" s="65" t="s">
        <v>189</v>
      </c>
      <c r="O8" s="52" t="s">
        <v>52</v>
      </c>
      <c r="P8" s="49"/>
      <c r="Q8" s="53">
        <v>2</v>
      </c>
      <c r="R8" s="85">
        <f t="shared" si="1"/>
        <v>1.5</v>
      </c>
    </row>
    <row r="9" spans="1:19" ht="27.95" customHeight="1">
      <c r="A9" s="212"/>
      <c r="B9" s="65"/>
      <c r="C9" s="48" t="s">
        <v>191</v>
      </c>
      <c r="D9" s="49" t="s">
        <v>34</v>
      </c>
      <c r="E9" s="50">
        <v>5</v>
      </c>
      <c r="F9" s="51" t="s">
        <v>16</v>
      </c>
      <c r="G9" s="69"/>
      <c r="H9" s="73" t="s">
        <v>191</v>
      </c>
      <c r="I9" s="49" t="s">
        <v>34</v>
      </c>
      <c r="J9" s="51">
        <f t="shared" si="0"/>
        <v>3.75</v>
      </c>
      <c r="K9" s="51" t="s">
        <v>16</v>
      </c>
      <c r="L9" s="51"/>
      <c r="M9" s="77" t="e">
        <f>#REF!</f>
        <v>#REF!</v>
      </c>
      <c r="N9" s="65" t="s">
        <v>190</v>
      </c>
      <c r="O9" s="52" t="s">
        <v>33</v>
      </c>
      <c r="P9" s="49" t="s">
        <v>34</v>
      </c>
      <c r="Q9" s="53">
        <v>2.5</v>
      </c>
      <c r="R9" s="85">
        <f t="shared" si="1"/>
        <v>1.8800000000000001</v>
      </c>
    </row>
    <row r="10" spans="1:19" ht="27.95" customHeight="1">
      <c r="A10" s="212"/>
      <c r="B10" s="65"/>
      <c r="C10" s="48" t="s">
        <v>68</v>
      </c>
      <c r="D10" s="49"/>
      <c r="E10" s="50">
        <v>5</v>
      </c>
      <c r="F10" s="51" t="s">
        <v>16</v>
      </c>
      <c r="G10" s="69"/>
      <c r="H10" s="73" t="s">
        <v>68</v>
      </c>
      <c r="I10" s="49"/>
      <c r="J10" s="51">
        <f t="shared" si="0"/>
        <v>3.75</v>
      </c>
      <c r="K10" s="51" t="s">
        <v>16</v>
      </c>
      <c r="L10" s="51"/>
      <c r="M10" s="77" t="e">
        <f>#REF!</f>
        <v>#REF!</v>
      </c>
      <c r="N10" s="82" t="s">
        <v>270</v>
      </c>
      <c r="O10" s="52" t="s">
        <v>45</v>
      </c>
      <c r="P10" s="49"/>
      <c r="Q10" s="53">
        <v>2</v>
      </c>
      <c r="R10" s="85">
        <f t="shared" si="1"/>
        <v>1.5</v>
      </c>
    </row>
    <row r="11" spans="1:19" ht="27.95" customHeight="1">
      <c r="A11" s="212"/>
      <c r="B11" s="64"/>
      <c r="C11" s="42"/>
      <c r="D11" s="43"/>
      <c r="E11" s="44"/>
      <c r="F11" s="45"/>
      <c r="G11" s="68"/>
      <c r="H11" s="72"/>
      <c r="I11" s="43"/>
      <c r="J11" s="45"/>
      <c r="K11" s="45"/>
      <c r="L11" s="45"/>
      <c r="M11" s="76"/>
      <c r="N11" s="64" t="s">
        <v>14</v>
      </c>
      <c r="O11" s="46"/>
      <c r="P11" s="43"/>
      <c r="Q11" s="47"/>
      <c r="R11" s="84"/>
    </row>
    <row r="12" spans="1:19" ht="27.95" customHeight="1">
      <c r="A12" s="212"/>
      <c r="B12" s="65" t="s">
        <v>192</v>
      </c>
      <c r="C12" s="48" t="s">
        <v>125</v>
      </c>
      <c r="D12" s="49"/>
      <c r="E12" s="50">
        <v>30</v>
      </c>
      <c r="F12" s="51" t="s">
        <v>16</v>
      </c>
      <c r="G12" s="69"/>
      <c r="H12" s="73" t="s">
        <v>125</v>
      </c>
      <c r="I12" s="49"/>
      <c r="J12" s="51">
        <f>ROUNDUP(E12*0.75,2)</f>
        <v>22.5</v>
      </c>
      <c r="K12" s="51" t="s">
        <v>16</v>
      </c>
      <c r="L12" s="51"/>
      <c r="M12" s="77" t="e">
        <f>ROUND(#REF!+(#REF!*3/100),2)</f>
        <v>#REF!</v>
      </c>
      <c r="N12" s="65" t="s">
        <v>193</v>
      </c>
      <c r="O12" s="52" t="s">
        <v>32</v>
      </c>
      <c r="P12" s="49"/>
      <c r="Q12" s="53">
        <v>0.3</v>
      </c>
      <c r="R12" s="85">
        <f>ROUNDUP(Q12*0.75,2)</f>
        <v>0.23</v>
      </c>
    </row>
    <row r="13" spans="1:19" ht="27.95" customHeight="1">
      <c r="A13" s="212"/>
      <c r="B13" s="65"/>
      <c r="C13" s="48" t="s">
        <v>73</v>
      </c>
      <c r="D13" s="49"/>
      <c r="E13" s="50">
        <v>10</v>
      </c>
      <c r="F13" s="51" t="s">
        <v>16</v>
      </c>
      <c r="G13" s="69"/>
      <c r="H13" s="73" t="s">
        <v>73</v>
      </c>
      <c r="I13" s="49"/>
      <c r="J13" s="51">
        <f>ROUNDUP(E13*0.75,2)</f>
        <v>7.5</v>
      </c>
      <c r="K13" s="51" t="s">
        <v>16</v>
      </c>
      <c r="L13" s="51"/>
      <c r="M13" s="77" t="e">
        <f>ROUND(#REF!+(#REF!*2/100),2)</f>
        <v>#REF!</v>
      </c>
      <c r="N13" s="65" t="s">
        <v>194</v>
      </c>
      <c r="O13" s="52" t="s">
        <v>19</v>
      </c>
      <c r="P13" s="49"/>
      <c r="Q13" s="53">
        <v>0.1</v>
      </c>
      <c r="R13" s="85">
        <f>ROUNDUP(Q13*0.75,2)</f>
        <v>0.08</v>
      </c>
    </row>
    <row r="14" spans="1:19" ht="27.95" customHeight="1">
      <c r="A14" s="212"/>
      <c r="B14" s="65"/>
      <c r="C14" s="48" t="s">
        <v>88</v>
      </c>
      <c r="D14" s="49"/>
      <c r="E14" s="50">
        <v>10</v>
      </c>
      <c r="F14" s="51" t="s">
        <v>16</v>
      </c>
      <c r="G14" s="69"/>
      <c r="H14" s="73" t="s">
        <v>88</v>
      </c>
      <c r="I14" s="49"/>
      <c r="J14" s="51">
        <f>ROUNDUP(E14*0.75,2)</f>
        <v>7.5</v>
      </c>
      <c r="K14" s="51" t="s">
        <v>16</v>
      </c>
      <c r="L14" s="51"/>
      <c r="M14" s="77" t="e">
        <f>#REF!</f>
        <v>#REF!</v>
      </c>
      <c r="N14" s="65" t="s">
        <v>47</v>
      </c>
      <c r="O14" s="52" t="s">
        <v>148</v>
      </c>
      <c r="P14" s="49" t="s">
        <v>149</v>
      </c>
      <c r="Q14" s="53">
        <v>4</v>
      </c>
      <c r="R14" s="85">
        <f>ROUNDUP(Q14*0.75,2)</f>
        <v>3</v>
      </c>
    </row>
    <row r="15" spans="1:19" ht="27.95" customHeight="1">
      <c r="A15" s="212"/>
      <c r="B15" s="65"/>
      <c r="C15" s="48" t="s">
        <v>51</v>
      </c>
      <c r="D15" s="49"/>
      <c r="E15" s="50">
        <v>2</v>
      </c>
      <c r="F15" s="51" t="s">
        <v>16</v>
      </c>
      <c r="G15" s="69"/>
      <c r="H15" s="73" t="s">
        <v>51</v>
      </c>
      <c r="I15" s="49"/>
      <c r="J15" s="51">
        <f>ROUNDUP(E15*0.75,2)</f>
        <v>1.5</v>
      </c>
      <c r="K15" s="51" t="s">
        <v>16</v>
      </c>
      <c r="L15" s="51"/>
      <c r="M15" s="77" t="e">
        <f>#REF!</f>
        <v>#REF!</v>
      </c>
      <c r="N15" s="65"/>
      <c r="O15" s="52"/>
      <c r="P15" s="49"/>
      <c r="Q15" s="53"/>
      <c r="R15" s="85"/>
    </row>
    <row r="16" spans="1:19" ht="27.95" customHeight="1">
      <c r="A16" s="212"/>
      <c r="B16" s="64"/>
      <c r="C16" s="42"/>
      <c r="D16" s="43"/>
      <c r="E16" s="44"/>
      <c r="F16" s="45"/>
      <c r="G16" s="68"/>
      <c r="H16" s="72"/>
      <c r="I16" s="43"/>
      <c r="J16" s="45"/>
      <c r="K16" s="45"/>
      <c r="L16" s="45"/>
      <c r="M16" s="76"/>
      <c r="N16" s="64"/>
      <c r="O16" s="46"/>
      <c r="P16" s="43"/>
      <c r="Q16" s="47"/>
      <c r="R16" s="84"/>
    </row>
    <row r="17" spans="1:18" ht="27.95" customHeight="1">
      <c r="A17" s="212"/>
      <c r="B17" s="65" t="s">
        <v>129</v>
      </c>
      <c r="C17" s="48" t="s">
        <v>133</v>
      </c>
      <c r="D17" s="49" t="s">
        <v>40</v>
      </c>
      <c r="E17" s="50">
        <v>40</v>
      </c>
      <c r="F17" s="51" t="s">
        <v>16</v>
      </c>
      <c r="G17" s="69"/>
      <c r="H17" s="73" t="s">
        <v>133</v>
      </c>
      <c r="I17" s="49" t="s">
        <v>40</v>
      </c>
      <c r="J17" s="51">
        <f>ROUNDUP(E17*0.75,2)</f>
        <v>30</v>
      </c>
      <c r="K17" s="51" t="s">
        <v>16</v>
      </c>
      <c r="L17" s="51"/>
      <c r="M17" s="77" t="e">
        <f>#REF!</f>
        <v>#REF!</v>
      </c>
      <c r="N17" s="65" t="s">
        <v>130</v>
      </c>
      <c r="O17" s="52" t="s">
        <v>32</v>
      </c>
      <c r="P17" s="49"/>
      <c r="Q17" s="53">
        <v>1</v>
      </c>
      <c r="R17" s="85">
        <f>ROUNDUP(Q17*0.75,2)</f>
        <v>0.75</v>
      </c>
    </row>
    <row r="18" spans="1:18" ht="27.95" customHeight="1">
      <c r="A18" s="212"/>
      <c r="B18" s="65"/>
      <c r="C18" s="48"/>
      <c r="D18" s="49"/>
      <c r="E18" s="50"/>
      <c r="F18" s="51"/>
      <c r="G18" s="69"/>
      <c r="H18" s="73"/>
      <c r="I18" s="49"/>
      <c r="J18" s="51"/>
      <c r="K18" s="51"/>
      <c r="L18" s="51"/>
      <c r="M18" s="77"/>
      <c r="N18" s="65" t="s">
        <v>131</v>
      </c>
      <c r="O18" s="52" t="s">
        <v>46</v>
      </c>
      <c r="P18" s="49"/>
      <c r="Q18" s="53">
        <v>3</v>
      </c>
      <c r="R18" s="85">
        <f>ROUNDUP(Q18*0.75,2)</f>
        <v>2.25</v>
      </c>
    </row>
    <row r="19" spans="1:18" ht="27.95" customHeight="1">
      <c r="A19" s="212"/>
      <c r="B19" s="65"/>
      <c r="C19" s="48"/>
      <c r="D19" s="49"/>
      <c r="E19" s="50"/>
      <c r="F19" s="51"/>
      <c r="G19" s="69"/>
      <c r="H19" s="73"/>
      <c r="I19" s="49"/>
      <c r="J19" s="51"/>
      <c r="K19" s="51"/>
      <c r="L19" s="51"/>
      <c r="M19" s="77"/>
      <c r="N19" s="65" t="s">
        <v>132</v>
      </c>
      <c r="O19" s="52"/>
      <c r="P19" s="49"/>
      <c r="Q19" s="53"/>
      <c r="R19" s="85"/>
    </row>
    <row r="20" spans="1:18" ht="27.95" customHeight="1">
      <c r="A20" s="212"/>
      <c r="B20" s="65"/>
      <c r="C20" s="48"/>
      <c r="D20" s="49"/>
      <c r="E20" s="50"/>
      <c r="F20" s="51"/>
      <c r="G20" s="69"/>
      <c r="H20" s="73"/>
      <c r="I20" s="49"/>
      <c r="J20" s="51"/>
      <c r="K20" s="51"/>
      <c r="L20" s="51"/>
      <c r="M20" s="77"/>
      <c r="N20" s="65" t="s">
        <v>14</v>
      </c>
      <c r="O20" s="52"/>
      <c r="P20" s="49"/>
      <c r="Q20" s="53"/>
      <c r="R20" s="85"/>
    </row>
    <row r="21" spans="1:18" ht="27.95" customHeight="1" thickBot="1">
      <c r="A21" s="213"/>
      <c r="B21" s="66"/>
      <c r="C21" s="55"/>
      <c r="D21" s="56"/>
      <c r="E21" s="57"/>
      <c r="F21" s="58"/>
      <c r="G21" s="70"/>
      <c r="H21" s="74"/>
      <c r="I21" s="56"/>
      <c r="J21" s="58"/>
      <c r="K21" s="58"/>
      <c r="L21" s="58"/>
      <c r="M21" s="78"/>
      <c r="N21" s="66"/>
      <c r="O21" s="59"/>
      <c r="P21" s="56"/>
      <c r="Q21" s="60"/>
      <c r="R21" s="87"/>
    </row>
  </sheetData>
  <mergeCells count="4">
    <mergeCell ref="H1:N1"/>
    <mergeCell ref="A2:R2"/>
    <mergeCell ref="A3:F3"/>
    <mergeCell ref="A5:A21"/>
  </mergeCells>
  <phoneticPr fontId="16"/>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キッズ月間(昼)</vt:lpstr>
      <vt:lpstr>3月2日（月）</vt:lpstr>
      <vt:lpstr>3月3日（火）</vt:lpstr>
      <vt:lpstr>3月4日（水）</vt:lpstr>
      <vt:lpstr>3月5日（木）</vt:lpstr>
      <vt:lpstr>3月6日（金）</vt:lpstr>
      <vt:lpstr>3月9日（月）</vt:lpstr>
      <vt:lpstr>3月10日（火）</vt:lpstr>
      <vt:lpstr>3月11日（水）</vt:lpstr>
      <vt:lpstr>3月12日（木）</vt:lpstr>
      <vt:lpstr>3月13日（金）</vt:lpstr>
      <vt:lpstr>3月16日（月）</vt:lpstr>
      <vt:lpstr>3月17日(火)</vt:lpstr>
      <vt:lpstr>3月18日（水）</vt:lpstr>
      <vt:lpstr>3月19日（木）</vt:lpstr>
      <vt:lpstr>3月23日（月）</vt:lpstr>
      <vt:lpstr>3月24日（火） </vt:lpstr>
      <vt:lpstr>3月25日（水）</vt:lpstr>
      <vt:lpstr>3月26日（木）</vt:lpstr>
      <vt:lpstr>3月27日（金）</vt:lpstr>
      <vt:lpstr>3月30日（月）</vt:lpstr>
      <vt:lpstr>3月31日（火）</vt:lpstr>
      <vt:lpstr>'キッズ月間(昼)'!Print_Area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2020-01-30T07:30:08Z</cp:lastPrinted>
  <dcterms:created xsi:type="dcterms:W3CDTF">2019-03-20T06:11:51Z</dcterms:created>
  <dcterms:modified xsi:type="dcterms:W3CDTF">2020-02-14T04:26:28Z</dcterms:modified>
</cp:coreProperties>
</file>