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28800" windowHeight="12450"/>
  </bookViews>
  <sheets>
    <sheet name="キッズ月間" sheetId="35" r:id="rId1"/>
    <sheet name="離乳食月間" sheetId="34" r:id="rId2"/>
    <sheet name="1月6日（月）" sheetId="6" r:id="rId3"/>
    <sheet name="1月7日（火）" sheetId="7" r:id="rId4"/>
    <sheet name="1月8日（水）" sheetId="8" r:id="rId5"/>
    <sheet name="1月9日（木）" sheetId="9" r:id="rId6"/>
    <sheet name="1月10日（金）" sheetId="10" r:id="rId7"/>
    <sheet name="1月14日（火）" sheetId="32" r:id="rId8"/>
    <sheet name="1月15日（水）" sheetId="15" r:id="rId9"/>
    <sheet name="1月16日（木）" sheetId="16" r:id="rId10"/>
    <sheet name="1月17日（金）" sheetId="17" r:id="rId11"/>
    <sheet name="1月20日（月）" sheetId="20" r:id="rId12"/>
    <sheet name="1月21日（火）" sheetId="21" r:id="rId13"/>
    <sheet name="1月22日（水）" sheetId="22" r:id="rId14"/>
    <sheet name="1月23日（木）" sheetId="23" r:id="rId15"/>
    <sheet name="1月24日（金）" sheetId="24" r:id="rId16"/>
    <sheet name="1月27日（月）" sheetId="27" r:id="rId17"/>
    <sheet name="1月28日（火）" sheetId="33" r:id="rId18"/>
    <sheet name="1月29日（水）" sheetId="29" r:id="rId19"/>
    <sheet name="1月30日（木）" sheetId="30" r:id="rId20"/>
    <sheet name="1月31日（金）" sheetId="31" r:id="rId21"/>
  </sheets>
  <definedNames>
    <definedName name="_xlnm.Print_Area" localSheetId="0">キッズ月間!$A$1:$AC$67</definedName>
    <definedName name="_xlnm.Print_Area" localSheetId="1">離乳食月間!$A$1:$Q$69</definedName>
    <definedName name="_xlnm.Print_Area">#REF!</definedName>
  </definedNames>
  <calcPr calcId="152511"/>
</workbook>
</file>

<file path=xl/calcChain.xml><?xml version="1.0" encoding="utf-8"?>
<calcChain xmlns="http://schemas.openxmlformats.org/spreadsheetml/2006/main">
  <c r="M59" i="35" l="1"/>
  <c r="K59" i="35"/>
  <c r="F59" i="35"/>
  <c r="E59" i="35"/>
  <c r="D59" i="35"/>
  <c r="Z58" i="35"/>
  <c r="M58" i="35"/>
  <c r="K58" i="35"/>
  <c r="F58" i="35"/>
  <c r="E58" i="35"/>
  <c r="D58" i="35"/>
  <c r="Z57" i="35"/>
  <c r="Z56" i="35"/>
  <c r="Z55" i="35"/>
  <c r="Z54" i="35"/>
  <c r="Z53" i="35"/>
  <c r="K53" i="35"/>
  <c r="Z52" i="35"/>
  <c r="K52" i="35"/>
  <c r="Z51" i="35"/>
  <c r="K51" i="35"/>
  <c r="Z50" i="35"/>
  <c r="K50" i="35"/>
  <c r="Z49" i="35"/>
  <c r="K49" i="35"/>
  <c r="Z48" i="35"/>
  <c r="K48" i="35"/>
  <c r="Z47" i="35"/>
  <c r="K47" i="35"/>
  <c r="Z46" i="35"/>
  <c r="K46" i="35"/>
  <c r="Z45" i="35"/>
  <c r="K45" i="35"/>
  <c r="Z44" i="35"/>
  <c r="K44" i="35"/>
  <c r="Z43" i="35"/>
  <c r="K43" i="35"/>
  <c r="Z42" i="35"/>
  <c r="K42" i="35"/>
  <c r="Z41" i="35"/>
  <c r="K41" i="35"/>
  <c r="Z40" i="35"/>
  <c r="K40" i="35"/>
  <c r="Z39" i="35"/>
  <c r="K39" i="35"/>
  <c r="Z38" i="35"/>
  <c r="K38" i="35"/>
  <c r="Z37" i="35"/>
  <c r="K37" i="35"/>
  <c r="Z36" i="35"/>
  <c r="K36" i="35"/>
  <c r="Z35" i="35"/>
  <c r="K35" i="35"/>
  <c r="Z34" i="35"/>
  <c r="K34" i="35"/>
  <c r="Z31" i="35"/>
  <c r="K31" i="35"/>
  <c r="Z30" i="35"/>
  <c r="K30" i="35"/>
  <c r="Z29" i="35"/>
  <c r="K29" i="35"/>
  <c r="Z28" i="35"/>
  <c r="K28" i="35"/>
  <c r="Z27" i="35"/>
  <c r="K27" i="35"/>
  <c r="Z26" i="35"/>
  <c r="K26" i="35"/>
  <c r="Z25" i="35"/>
  <c r="K25" i="35"/>
  <c r="Z24" i="35"/>
  <c r="K24" i="35"/>
  <c r="Z23" i="35"/>
  <c r="K23" i="35"/>
  <c r="Z22" i="35"/>
  <c r="K22" i="35"/>
  <c r="Z21" i="35"/>
  <c r="K21" i="35"/>
  <c r="Z20" i="35"/>
  <c r="K20" i="35"/>
  <c r="Z19" i="35"/>
  <c r="K19" i="35"/>
  <c r="Z18" i="35"/>
  <c r="K18" i="35"/>
  <c r="Z17" i="35"/>
  <c r="K17" i="35"/>
  <c r="Z16" i="35"/>
  <c r="K16" i="35"/>
  <c r="Z15" i="35"/>
  <c r="K15" i="35"/>
  <c r="Z14" i="35"/>
  <c r="K14" i="35"/>
  <c r="Z13" i="35"/>
  <c r="K13" i="35"/>
  <c r="Z12" i="35"/>
  <c r="K12" i="35"/>
  <c r="Z11" i="35"/>
  <c r="K11" i="35"/>
  <c r="Z10" i="35"/>
  <c r="K10" i="35"/>
  <c r="Z9" i="35"/>
  <c r="K9" i="35"/>
  <c r="Z8" i="35"/>
  <c r="K8" i="35"/>
  <c r="Z7" i="35"/>
  <c r="K7" i="35"/>
  <c r="J24" i="33" l="1"/>
  <c r="M24" i="33"/>
  <c r="R22" i="33"/>
  <c r="J22" i="33"/>
  <c r="M22" i="33"/>
  <c r="R21" i="33"/>
  <c r="J21" i="33"/>
  <c r="M21" i="33"/>
  <c r="J19" i="33"/>
  <c r="M19" i="33"/>
  <c r="R18" i="33"/>
  <c r="J18" i="33"/>
  <c r="M18" i="33"/>
  <c r="R17" i="33"/>
  <c r="M17" i="33"/>
  <c r="J17" i="33"/>
  <c r="R16" i="33"/>
  <c r="J16" i="33"/>
  <c r="M16" i="33"/>
  <c r="R15" i="33"/>
  <c r="J15" i="33"/>
  <c r="M15" i="33"/>
  <c r="R14" i="33"/>
  <c r="J14" i="33"/>
  <c r="M14" i="33"/>
  <c r="R12" i="33"/>
  <c r="R11" i="33"/>
  <c r="R10" i="33"/>
  <c r="R9" i="33"/>
  <c r="R8" i="33"/>
  <c r="M8" i="33"/>
  <c r="J8" i="33"/>
  <c r="R7" i="33"/>
  <c r="J7" i="33"/>
  <c r="M7" i="33"/>
  <c r="R5" i="33"/>
  <c r="J24" i="32"/>
  <c r="M24" i="32"/>
  <c r="R22" i="32"/>
  <c r="J22" i="32"/>
  <c r="M22" i="32"/>
  <c r="R21" i="32"/>
  <c r="M21" i="32"/>
  <c r="J21" i="32"/>
  <c r="J19" i="32"/>
  <c r="M19" i="32"/>
  <c r="R18" i="32"/>
  <c r="J18" i="32"/>
  <c r="R17" i="32"/>
  <c r="M17" i="32"/>
  <c r="J17" i="32"/>
  <c r="R16" i="32"/>
  <c r="J16" i="32"/>
  <c r="M16" i="32"/>
  <c r="R15" i="32"/>
  <c r="J15" i="32"/>
  <c r="M15" i="32"/>
  <c r="R14" i="32"/>
  <c r="J14" i="32"/>
  <c r="M14" i="32"/>
  <c r="R12" i="32"/>
  <c r="R11" i="32"/>
  <c r="R10" i="32"/>
  <c r="R9" i="32"/>
  <c r="R8" i="32"/>
  <c r="J8" i="32"/>
  <c r="R7" i="32"/>
  <c r="M7" i="32"/>
  <c r="J7" i="32"/>
  <c r="R5" i="32"/>
  <c r="J18" i="31"/>
  <c r="M18" i="31"/>
  <c r="R15" i="31"/>
  <c r="R14" i="31"/>
  <c r="R13" i="31"/>
  <c r="J15" i="31"/>
  <c r="M15" i="31"/>
  <c r="M14" i="31"/>
  <c r="J14" i="31"/>
  <c r="J13" i="31"/>
  <c r="M13" i="31"/>
  <c r="M9" i="31"/>
  <c r="J9" i="31"/>
  <c r="M8" i="31"/>
  <c r="J8" i="31"/>
  <c r="R9" i="31"/>
  <c r="R8" i="31"/>
  <c r="J7" i="31"/>
  <c r="M7" i="31"/>
  <c r="R7" i="31"/>
  <c r="J6" i="31"/>
  <c r="M6" i="31"/>
  <c r="R6" i="31"/>
  <c r="M5" i="31"/>
  <c r="J5" i="31"/>
  <c r="R5" i="31"/>
  <c r="J26" i="30"/>
  <c r="M26" i="30"/>
  <c r="R24" i="30"/>
  <c r="R23" i="30"/>
  <c r="R22" i="30"/>
  <c r="M23" i="30"/>
  <c r="J23" i="30"/>
  <c r="J22" i="30"/>
  <c r="M22" i="30"/>
  <c r="R19" i="30"/>
  <c r="R18" i="30"/>
  <c r="R17" i="30"/>
  <c r="J20" i="30"/>
  <c r="M20" i="30"/>
  <c r="J19" i="30"/>
  <c r="M19" i="30"/>
  <c r="M18" i="30"/>
  <c r="J18" i="30"/>
  <c r="M17" i="30"/>
  <c r="J17" i="30"/>
  <c r="R15" i="30"/>
  <c r="R14" i="30"/>
  <c r="J8" i="30"/>
  <c r="M8" i="30"/>
  <c r="R13" i="30"/>
  <c r="R12" i="30"/>
  <c r="R11" i="30"/>
  <c r="R10" i="30"/>
  <c r="R9" i="30"/>
  <c r="R8" i="30"/>
  <c r="R7" i="30"/>
  <c r="M7" i="30"/>
  <c r="J7" i="30"/>
  <c r="R5" i="30"/>
  <c r="R19" i="29"/>
  <c r="R18" i="29"/>
  <c r="M19" i="29"/>
  <c r="J19" i="29"/>
  <c r="M18" i="29"/>
  <c r="J18" i="29"/>
  <c r="R16" i="29"/>
  <c r="R15" i="29"/>
  <c r="R14" i="29"/>
  <c r="M15" i="29"/>
  <c r="J15" i="29"/>
  <c r="J14" i="29"/>
  <c r="M14" i="29"/>
  <c r="R11" i="29"/>
  <c r="J12" i="29"/>
  <c r="M12" i="29"/>
  <c r="R10" i="29"/>
  <c r="R9" i="29"/>
  <c r="J11" i="29"/>
  <c r="M11" i="29"/>
  <c r="J10" i="29"/>
  <c r="M10" i="29"/>
  <c r="M9" i="29"/>
  <c r="J9" i="29"/>
  <c r="R8" i="29"/>
  <c r="R7" i="29"/>
  <c r="J8" i="29"/>
  <c r="M8" i="29"/>
  <c r="J7" i="29"/>
  <c r="M7" i="29"/>
  <c r="M5" i="29"/>
  <c r="J5" i="29"/>
  <c r="R5" i="29"/>
  <c r="M19" i="27"/>
  <c r="J19" i="27"/>
  <c r="R17" i="27"/>
  <c r="R16" i="27"/>
  <c r="R15" i="27"/>
  <c r="R14" i="27"/>
  <c r="R13" i="27"/>
  <c r="M14" i="27"/>
  <c r="J14" i="27"/>
  <c r="J13" i="27"/>
  <c r="M13" i="27"/>
  <c r="R8" i="27"/>
  <c r="R7" i="27"/>
  <c r="R6" i="27"/>
  <c r="R5" i="27"/>
  <c r="M11" i="27"/>
  <c r="J11" i="27"/>
  <c r="J10" i="27"/>
  <c r="M10" i="27"/>
  <c r="J9" i="27"/>
  <c r="M9" i="27"/>
  <c r="M8" i="27"/>
  <c r="J8" i="27"/>
  <c r="J7" i="27"/>
  <c r="M7" i="27"/>
  <c r="J6" i="27"/>
  <c r="M6" i="27"/>
  <c r="J5" i="27"/>
  <c r="M5" i="27"/>
  <c r="R22" i="24"/>
  <c r="R21" i="24"/>
  <c r="M23" i="24"/>
  <c r="J23" i="24"/>
  <c r="J22" i="24"/>
  <c r="M22" i="24"/>
  <c r="J21" i="24"/>
  <c r="M21" i="24"/>
  <c r="R19" i="24"/>
  <c r="R18" i="24"/>
  <c r="R17" i="24"/>
  <c r="R16" i="24"/>
  <c r="M17" i="24"/>
  <c r="J17" i="24"/>
  <c r="J16" i="24"/>
  <c r="M16" i="24"/>
  <c r="R15" i="24"/>
  <c r="M15" i="24"/>
  <c r="J15" i="24"/>
  <c r="M11" i="24"/>
  <c r="J11" i="24"/>
  <c r="R13" i="24"/>
  <c r="R12" i="24"/>
  <c r="R11" i="24"/>
  <c r="R10" i="24"/>
  <c r="J10" i="24"/>
  <c r="M10" i="24"/>
  <c r="R9" i="24"/>
  <c r="M9" i="24"/>
  <c r="J9" i="24"/>
  <c r="R7" i="24"/>
  <c r="R6" i="24"/>
  <c r="J5" i="24"/>
  <c r="M5" i="24"/>
  <c r="R5" i="24"/>
  <c r="R25" i="23"/>
  <c r="R24" i="23"/>
  <c r="R23" i="23"/>
  <c r="J24" i="23"/>
  <c r="M24" i="23"/>
  <c r="J23" i="23"/>
  <c r="M23" i="23"/>
  <c r="R21" i="23"/>
  <c r="R20" i="23"/>
  <c r="R19" i="23"/>
  <c r="R18" i="23"/>
  <c r="M21" i="23"/>
  <c r="J21" i="23"/>
  <c r="J20" i="23"/>
  <c r="M20" i="23"/>
  <c r="J19" i="23"/>
  <c r="M19" i="23"/>
  <c r="J18" i="23"/>
  <c r="M18" i="23"/>
  <c r="R16" i="23"/>
  <c r="R15" i="23"/>
  <c r="M12" i="23"/>
  <c r="J12" i="23"/>
  <c r="M11" i="23"/>
  <c r="J11" i="23"/>
  <c r="R14" i="23"/>
  <c r="R13" i="23"/>
  <c r="R12" i="23"/>
  <c r="R11" i="23"/>
  <c r="R10" i="23"/>
  <c r="R9" i="23"/>
  <c r="R8" i="23"/>
  <c r="R7" i="23"/>
  <c r="J10" i="23"/>
  <c r="M10" i="23"/>
  <c r="J9" i="23"/>
  <c r="M9" i="23"/>
  <c r="M8" i="23"/>
  <c r="J8" i="23"/>
  <c r="M7" i="23"/>
  <c r="J7" i="23"/>
  <c r="R5" i="23"/>
  <c r="J29" i="22"/>
  <c r="M29" i="22"/>
  <c r="R27" i="22"/>
  <c r="R26" i="22"/>
  <c r="R25" i="22"/>
  <c r="R24" i="22"/>
  <c r="R23" i="22"/>
  <c r="J24" i="22"/>
  <c r="M24" i="22"/>
  <c r="J23" i="22"/>
  <c r="M23" i="22"/>
  <c r="J18" i="22"/>
  <c r="M18" i="22"/>
  <c r="M17" i="22"/>
  <c r="J17" i="22"/>
  <c r="R19" i="22"/>
  <c r="R18" i="22"/>
  <c r="R17" i="22"/>
  <c r="R16" i="22"/>
  <c r="J16" i="22"/>
  <c r="M16" i="22"/>
  <c r="R15" i="22"/>
  <c r="M15" i="22"/>
  <c r="J15" i="22"/>
  <c r="R9" i="22"/>
  <c r="R8" i="22"/>
  <c r="J11" i="22"/>
  <c r="M11" i="22"/>
  <c r="J10" i="22"/>
  <c r="M10" i="22"/>
  <c r="J9" i="22"/>
  <c r="M9" i="22"/>
  <c r="M8" i="22"/>
  <c r="J8" i="22"/>
  <c r="J7" i="22"/>
  <c r="M7" i="22"/>
  <c r="R7" i="22"/>
  <c r="M20" i="21"/>
  <c r="J20" i="21"/>
  <c r="R18" i="21"/>
  <c r="R17" i="21"/>
  <c r="R16" i="21"/>
  <c r="R15" i="21"/>
  <c r="J16" i="21"/>
  <c r="M16" i="21"/>
  <c r="J15" i="21"/>
  <c r="M15" i="21"/>
  <c r="R8" i="21"/>
  <c r="R7" i="21"/>
  <c r="M13" i="21"/>
  <c r="J13" i="21"/>
  <c r="M12" i="21"/>
  <c r="J12" i="21"/>
  <c r="J11" i="21"/>
  <c r="M11" i="21"/>
  <c r="J10" i="21"/>
  <c r="M10" i="21"/>
  <c r="M9" i="21"/>
  <c r="J9" i="21"/>
  <c r="M8" i="21"/>
  <c r="J8" i="21"/>
  <c r="J7" i="21"/>
  <c r="M7" i="21"/>
  <c r="R5" i="21"/>
  <c r="M24" i="20"/>
  <c r="J24" i="20"/>
  <c r="R22" i="20"/>
  <c r="R21" i="20"/>
  <c r="J22" i="20"/>
  <c r="M22" i="20"/>
  <c r="J21" i="20"/>
  <c r="M21" i="20"/>
  <c r="R17" i="20"/>
  <c r="R16" i="20"/>
  <c r="R15" i="20"/>
  <c r="R14" i="20"/>
  <c r="M14" i="20"/>
  <c r="J14" i="20"/>
  <c r="R12" i="20"/>
  <c r="R11" i="20"/>
  <c r="R10" i="20"/>
  <c r="R9" i="20"/>
  <c r="M10" i="20"/>
  <c r="J10" i="20"/>
  <c r="J9" i="20"/>
  <c r="M9" i="20"/>
  <c r="J8" i="20"/>
  <c r="M8" i="20"/>
  <c r="R8" i="20"/>
  <c r="R7" i="20"/>
  <c r="M7" i="20"/>
  <c r="J7" i="20"/>
  <c r="M5" i="20"/>
  <c r="J5" i="20"/>
  <c r="R5" i="20"/>
  <c r="M18" i="17"/>
  <c r="J18" i="17"/>
  <c r="R15" i="17"/>
  <c r="R14" i="17"/>
  <c r="R13" i="17"/>
  <c r="M15" i="17"/>
  <c r="J15" i="17"/>
  <c r="M14" i="17"/>
  <c r="J14" i="17"/>
  <c r="J13" i="17"/>
  <c r="M13" i="17"/>
  <c r="J9" i="17"/>
  <c r="M9" i="17"/>
  <c r="M8" i="17"/>
  <c r="J8" i="17"/>
  <c r="R9" i="17"/>
  <c r="R8" i="17"/>
  <c r="M7" i="17"/>
  <c r="J7" i="17"/>
  <c r="R7" i="17"/>
  <c r="M6" i="17"/>
  <c r="J6" i="17"/>
  <c r="R6" i="17"/>
  <c r="J5" i="17"/>
  <c r="M5" i="17"/>
  <c r="R5" i="17"/>
  <c r="J26" i="16"/>
  <c r="M26" i="16"/>
  <c r="R24" i="16"/>
  <c r="R23" i="16"/>
  <c r="R22" i="16"/>
  <c r="M23" i="16"/>
  <c r="J23" i="16"/>
  <c r="J22" i="16"/>
  <c r="M22" i="16"/>
  <c r="R19" i="16"/>
  <c r="R18" i="16"/>
  <c r="R17" i="16"/>
  <c r="M20" i="16"/>
  <c r="J20" i="16"/>
  <c r="J19" i="16"/>
  <c r="J18" i="16"/>
  <c r="M18" i="16"/>
  <c r="M17" i="16"/>
  <c r="J17" i="16"/>
  <c r="R15" i="16"/>
  <c r="R14" i="16"/>
  <c r="M8" i="16"/>
  <c r="J8" i="16"/>
  <c r="R13" i="16"/>
  <c r="R12" i="16"/>
  <c r="R11" i="16"/>
  <c r="R10" i="16"/>
  <c r="R9" i="16"/>
  <c r="R8" i="16"/>
  <c r="R7" i="16"/>
  <c r="M7" i="16"/>
  <c r="J7" i="16"/>
  <c r="R5" i="16"/>
  <c r="R19" i="15"/>
  <c r="R18" i="15"/>
  <c r="J19" i="15"/>
  <c r="M19" i="15"/>
  <c r="M18" i="15"/>
  <c r="J18" i="15"/>
  <c r="R16" i="15"/>
  <c r="R15" i="15"/>
  <c r="R14" i="15"/>
  <c r="J15" i="15"/>
  <c r="M15" i="15"/>
  <c r="M14" i="15"/>
  <c r="J14" i="15"/>
  <c r="R11" i="15"/>
  <c r="J12" i="15"/>
  <c r="M12" i="15"/>
  <c r="R10" i="15"/>
  <c r="R9" i="15"/>
  <c r="M11" i="15"/>
  <c r="J11" i="15"/>
  <c r="J10" i="15"/>
  <c r="M10" i="15"/>
  <c r="M9" i="15"/>
  <c r="J9" i="15"/>
  <c r="R8" i="15"/>
  <c r="R7" i="15"/>
  <c r="J8" i="15"/>
  <c r="M8" i="15"/>
  <c r="M7" i="15"/>
  <c r="J7" i="15"/>
  <c r="J5" i="15"/>
  <c r="M5" i="15"/>
  <c r="R5" i="15"/>
  <c r="R22" i="10"/>
  <c r="R21" i="10"/>
  <c r="M23" i="10"/>
  <c r="J23" i="10"/>
  <c r="J22" i="10"/>
  <c r="M22" i="10"/>
  <c r="M21" i="10"/>
  <c r="J21" i="10"/>
  <c r="R19" i="10"/>
  <c r="R18" i="10"/>
  <c r="R17" i="10"/>
  <c r="R16" i="10"/>
  <c r="J17" i="10"/>
  <c r="M17" i="10"/>
  <c r="J16" i="10"/>
  <c r="M16" i="10"/>
  <c r="R15" i="10"/>
  <c r="J15" i="10"/>
  <c r="M15" i="10"/>
  <c r="J11" i="10"/>
  <c r="M11" i="10"/>
  <c r="R13" i="10"/>
  <c r="R12" i="10"/>
  <c r="R11" i="10"/>
  <c r="R10" i="10"/>
  <c r="M10" i="10"/>
  <c r="J10" i="10"/>
  <c r="R9" i="10"/>
  <c r="J9" i="10"/>
  <c r="M9" i="10"/>
  <c r="R7" i="10"/>
  <c r="R6" i="10"/>
  <c r="M5" i="10"/>
  <c r="J5" i="10"/>
  <c r="R5" i="10"/>
  <c r="R25" i="9"/>
  <c r="R24" i="9"/>
  <c r="R23" i="9"/>
  <c r="J24" i="9"/>
  <c r="M24" i="9"/>
  <c r="M23" i="9"/>
  <c r="J23" i="9"/>
  <c r="R21" i="9"/>
  <c r="R20" i="9"/>
  <c r="R19" i="9"/>
  <c r="R18" i="9"/>
  <c r="J21" i="9"/>
  <c r="M21" i="9"/>
  <c r="J20" i="9"/>
  <c r="M20" i="9"/>
  <c r="J19" i="9"/>
  <c r="M19" i="9"/>
  <c r="M18" i="9"/>
  <c r="J18" i="9"/>
  <c r="R16" i="9"/>
  <c r="R15" i="9"/>
  <c r="J12" i="9"/>
  <c r="M12" i="9"/>
  <c r="J11" i="9"/>
  <c r="M11" i="9"/>
  <c r="R14" i="9"/>
  <c r="R13" i="9"/>
  <c r="R12" i="9"/>
  <c r="R11" i="9"/>
  <c r="R10" i="9"/>
  <c r="R9" i="9"/>
  <c r="R8" i="9"/>
  <c r="R7" i="9"/>
  <c r="J10" i="9"/>
  <c r="M10" i="9"/>
  <c r="M9" i="9"/>
  <c r="J9" i="9"/>
  <c r="J8" i="9"/>
  <c r="M8" i="9"/>
  <c r="J7" i="9"/>
  <c r="M7" i="9"/>
  <c r="R5" i="9"/>
  <c r="J26" i="8"/>
  <c r="M26" i="8"/>
  <c r="R24" i="8"/>
  <c r="R23" i="8"/>
  <c r="R22" i="8"/>
  <c r="R21" i="8"/>
  <c r="R20" i="8"/>
  <c r="J21" i="8"/>
  <c r="M21" i="8"/>
  <c r="J20" i="8"/>
  <c r="M20" i="8"/>
  <c r="J15" i="8"/>
  <c r="M15" i="8"/>
  <c r="M14" i="8"/>
  <c r="J14" i="8"/>
  <c r="R16" i="8"/>
  <c r="R15" i="8"/>
  <c r="R14" i="8"/>
  <c r="R13" i="8"/>
  <c r="J13" i="8"/>
  <c r="M13" i="8"/>
  <c r="R12" i="8"/>
  <c r="M12" i="8"/>
  <c r="J12" i="8"/>
  <c r="R10" i="8"/>
  <c r="R9" i="8"/>
  <c r="J9" i="8"/>
  <c r="M9" i="8"/>
  <c r="J8" i="8"/>
  <c r="M8" i="8"/>
  <c r="R8" i="8"/>
  <c r="J7" i="8"/>
  <c r="M7" i="8"/>
  <c r="R7" i="8"/>
  <c r="M20" i="7"/>
  <c r="J20" i="7"/>
  <c r="R18" i="7"/>
  <c r="R17" i="7"/>
  <c r="R16" i="7"/>
  <c r="R15" i="7"/>
  <c r="J16" i="7"/>
  <c r="M16" i="7"/>
  <c r="M15" i="7"/>
  <c r="J15" i="7"/>
  <c r="R8" i="7"/>
  <c r="R7" i="7"/>
  <c r="M13" i="7"/>
  <c r="J13" i="7"/>
  <c r="J12" i="7"/>
  <c r="M12" i="7"/>
  <c r="J11" i="7"/>
  <c r="M11" i="7"/>
  <c r="J10" i="7"/>
  <c r="M10" i="7"/>
  <c r="J9" i="7"/>
  <c r="M9" i="7"/>
  <c r="J8" i="7"/>
  <c r="M8" i="7"/>
  <c r="J7" i="7"/>
  <c r="M7" i="7"/>
  <c r="R5" i="7"/>
  <c r="J24" i="6"/>
  <c r="M24" i="6"/>
  <c r="R22" i="6"/>
  <c r="R21" i="6"/>
  <c r="J22" i="6"/>
  <c r="M22" i="6"/>
  <c r="J21" i="6"/>
  <c r="M21" i="6"/>
  <c r="R17" i="6"/>
  <c r="R16" i="6"/>
  <c r="R15" i="6"/>
  <c r="R14" i="6"/>
  <c r="J14" i="6"/>
  <c r="M14" i="6"/>
  <c r="R12" i="6"/>
  <c r="R11" i="6"/>
  <c r="R10" i="6"/>
  <c r="R9" i="6"/>
  <c r="J10" i="6"/>
  <c r="M10" i="6"/>
  <c r="J9" i="6"/>
  <c r="M9" i="6"/>
  <c r="J8" i="6"/>
  <c r="M8" i="6"/>
  <c r="R8" i="6"/>
  <c r="R7" i="6"/>
  <c r="J7" i="6"/>
  <c r="M7" i="6"/>
  <c r="J5" i="6"/>
  <c r="M5" i="6"/>
  <c r="R5" i="6"/>
</calcChain>
</file>

<file path=xl/sharedStrings.xml><?xml version="1.0" encoding="utf-8"?>
<sst xmlns="http://schemas.openxmlformats.org/spreadsheetml/2006/main" count="2769" uniqueCount="524">
  <si>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</si>
  <si>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</si>
  <si>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</si>
  <si>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</si>
  <si>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</si>
  <si>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</si>
  <si>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</si>
  <si>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</si>
  <si>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</si>
  <si>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</si>
  <si>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</si>
  <si>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</si>
  <si>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</si>
  <si>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ご飯</t>
  </si>
  <si>
    <t>助宗タラの変わり西京風焼き</t>
  </si>
  <si>
    <t>①魚は水気をよくふき取り小麦粉をまぶします。_x000D_</t>
  </si>
  <si>
    <t>②油をひいた天板に並べ、180℃で10～15分焼き、バターで香りをつけます。_x000D_</t>
  </si>
  <si>
    <t>③砂糖・みりん・味噌・マヨネーズを合わせて魚に塗り、さらに焼いて焼き色をつけ完全に火を通します。_x000D_</t>
  </si>
  <si>
    <t>※加熱調理する際は中心部75℃で1分以上加熱したことを確認して下さい。</t>
  </si>
  <si>
    <t>骨抜き助宗タラ３０</t>
  </si>
  <si>
    <t>アメリカ・中国</t>
  </si>
  <si>
    <t>切</t>
  </si>
  <si>
    <t>小麦粉</t>
  </si>
  <si>
    <t>小麦</t>
  </si>
  <si>
    <t>油</t>
  </si>
  <si>
    <t>バター</t>
  </si>
  <si>
    <t>乳</t>
  </si>
  <si>
    <t>上白糖</t>
  </si>
  <si>
    <t>みりん風調味料</t>
  </si>
  <si>
    <t>味噌</t>
  </si>
  <si>
    <t>マヨネーズ</t>
  </si>
  <si>
    <t>卵・小麦</t>
  </si>
  <si>
    <t>冷凍カット小松菜ＩＱＦ</t>
  </si>
  <si>
    <t>中国</t>
  </si>
  <si>
    <t>g</t>
  </si>
  <si>
    <t>醤油</t>
  </si>
  <si>
    <t>出し汁</t>
  </si>
  <si>
    <t>厚揚げのソテー</t>
  </si>
  <si>
    <t>①熱湯に通した厚揚げ・野菜は食べやすい大きさに切ります。_x000D_</t>
  </si>
  <si>
    <t>冷凍絹厚揚げ</t>
  </si>
  <si>
    <t>ヶ</t>
  </si>
  <si>
    <t>冷凍オニオンスライス</t>
  </si>
  <si>
    <t>冷凍レッドピーマンスライス</t>
  </si>
  <si>
    <t>冷凍キヌサヤ</t>
  </si>
  <si>
    <t>ごま油</t>
  </si>
  <si>
    <t>精製塩</t>
  </si>
  <si>
    <t>こしょう</t>
  </si>
  <si>
    <t>すまし汁</t>
  </si>
  <si>
    <t>カットワカメ（韓国産）</t>
  </si>
  <si>
    <t>韓国</t>
  </si>
  <si>
    <t>冷凍大根いちょう切</t>
  </si>
  <si>
    <t>昼</t>
  </si>
  <si>
    <t>牛乳</t>
  </si>
  <si>
    <t>国内加工</t>
  </si>
  <si>
    <t>cc</t>
  </si>
  <si>
    <t>（干）うどん</t>
  </si>
  <si>
    <t>オーストラリア、日本</t>
  </si>
  <si>
    <t>小麦※14</t>
    <phoneticPr fontId="17"/>
  </si>
  <si>
    <t>日本</t>
  </si>
  <si>
    <t>枚</t>
  </si>
  <si>
    <t>冷凍花型人参</t>
  </si>
  <si>
    <t>冷凍カットほうれん草ＩＱＦ</t>
  </si>
  <si>
    <t>①野菜は食べやすい大きさに切ります。_x000D_</t>
  </si>
  <si>
    <t>国産豚もも小間</t>
  </si>
  <si>
    <t>冷凍千切り人参</t>
  </si>
  <si>
    <t>冷凍グリンピース</t>
  </si>
  <si>
    <t>酒</t>
  </si>
  <si>
    <t>①かぼちゃは食べやすい大きさに切ります。_x000D_</t>
  </si>
  <si>
    <t>冷凍かぼちゃ</t>
  </si>
  <si>
    <t>みそ汁</t>
  </si>
  <si>
    <t>冷凍乱切りキャベツ</t>
  </si>
  <si>
    <t>ハヤシライス</t>
  </si>
  <si>
    <t>①材料は食べやすい大きさに切り、肉は酒をふります。_x000D_</t>
  </si>
  <si>
    <t>②熱した油で①を炒め、トマトパック・水・砂糖を加えて煮ます。_x000D_</t>
  </si>
  <si>
    <t>③アクを取り、ルーを入れて煮ます。_x000D_</t>
  </si>
  <si>
    <t>④ご飯に③を盛り、茹でたグリンピースをちらして下さい。_x000D_</t>
  </si>
  <si>
    <t>※水の量は調節して下さい。_x000D_</t>
  </si>
  <si>
    <t>※加熱調理する際は中心部75℃で1分以上加熱したことを確認して下さい。_x000D_</t>
  </si>
  <si>
    <t>カットトマトパック</t>
  </si>
  <si>
    <t>水</t>
  </si>
  <si>
    <t>ハヤシルー</t>
  </si>
  <si>
    <t>小麦※4</t>
    <phoneticPr fontId="17"/>
  </si>
  <si>
    <t>小麦※4</t>
    <phoneticPr fontId="17"/>
  </si>
  <si>
    <t>ブロッコリーとマカロニのサラダ</t>
  </si>
  <si>
    <t>①マカロニは10～12分程茹で、やわらかくなったら冷まします。_x000D_</t>
  </si>
  <si>
    <t>②野菜は食べやすい大きさに切って茹で冷まします。_x000D_</t>
  </si>
  <si>
    <t>③調味料は煮立て冷まし、①・②を加え和えて下さい。_x000D_</t>
  </si>
  <si>
    <t>マカロニ</t>
  </si>
  <si>
    <t>冷凍ブロッコリー</t>
  </si>
  <si>
    <t>有機豆乳無調整</t>
  </si>
  <si>
    <t>Ｐ</t>
  </si>
  <si>
    <t>※誤嚥防止のために豆は軽く潰してもよいでしょう。_x000D_</t>
  </si>
  <si>
    <t>冷凍国産大豆</t>
  </si>
  <si>
    <t>冷凍カーネルコーン</t>
  </si>
  <si>
    <t>アメリカ</t>
  </si>
  <si>
    <t>ツナフレーク缶</t>
  </si>
  <si>
    <t>タイ</t>
  </si>
  <si>
    <t>パン粉</t>
  </si>
  <si>
    <t>アメリカ、カナダ</t>
  </si>
  <si>
    <t>冷凍カットインゲン</t>
  </si>
  <si>
    <t>冷凍カット油揚げ</t>
  </si>
  <si>
    <t>国産豚挽肉</t>
  </si>
  <si>
    <t>酢</t>
  </si>
  <si>
    <t>フルーツ（パイン缶）</t>
  </si>
  <si>
    <t>インドネシア</t>
  </si>
  <si>
    <t>鉄分強化！ふりかけごはん</t>
  </si>
  <si>
    <t>鉄ふりかけ　大豆</t>
  </si>
  <si>
    <t>小麦※18</t>
    <phoneticPr fontId="17"/>
  </si>
  <si>
    <t>骨抜き白糸タラ３０</t>
  </si>
  <si>
    <t>ノルウェー・中国</t>
  </si>
  <si>
    <t>花ふ</t>
  </si>
  <si>
    <t>アメリカ、カナダ他</t>
  </si>
  <si>
    <t>冷凍白菜カット</t>
  </si>
  <si>
    <t>冷凍むき枝豆</t>
  </si>
  <si>
    <t>片栗粉</t>
  </si>
  <si>
    <t>いり胡麻　白</t>
  </si>
  <si>
    <t>1月5日(日)配達/1月6日(月)食</t>
    <phoneticPr fontId="3"/>
  </si>
  <si>
    <t>小麦※18</t>
    <phoneticPr fontId="17"/>
  </si>
  <si>
    <t>カラスカレイの野菜あんかけ</t>
  </si>
  <si>
    <t>①魚は水気をよくふき取り片栗粉をまぶし、熱した油で焼きます。_x000D_</t>
  </si>
  <si>
    <t>②野菜は食べやすい大きさに切り、だし汁・みりん・正油で煮ます。_x000D_</t>
  </si>
  <si>
    <t>③野菜が柔らかくなったら、水溶き片栗粉でとろみをつけます。_x000D_</t>
  </si>
  <si>
    <t>骨抜きカラスカレイ３０</t>
  </si>
  <si>
    <t>ロシア・中国</t>
  </si>
  <si>
    <t>かぼちゃの塩バター煮</t>
  </si>
  <si>
    <t>②①を水（かぼちゃの半分ぐらいの高さ）・塩・砂糖で煮ます。_x000D_</t>
  </si>
  <si>
    <t>③やわらかくなり水分が少なくなってきたら、バターを加えてフタをしてゆすりながら軽く水分をとばして下さい。_x000D_</t>
  </si>
  <si>
    <t>※水分をとばすのは、こふき芋を作る要領です。_x000D_</t>
  </si>
  <si>
    <t>玉子</t>
  </si>
  <si>
    <t>卵</t>
  </si>
  <si>
    <t>フルーツ（白桃缶）</t>
  </si>
  <si>
    <t>輸入白桃缶</t>
  </si>
  <si>
    <t>1月6日(月)配達/1月7日(火)食</t>
    <phoneticPr fontId="3"/>
  </si>
  <si>
    <t>冬野菜のクリームシチュー</t>
  </si>
  <si>
    <t>国産鶏もも小間(加熱用)</t>
  </si>
  <si>
    <t>玉ねぎ</t>
  </si>
  <si>
    <t>かぶ</t>
  </si>
  <si>
    <t>人参</t>
  </si>
  <si>
    <t>ほうれん草</t>
  </si>
  <si>
    <t>ハウス　クリームシチューミクス</t>
  </si>
  <si>
    <t>乳・小麦</t>
  </si>
  <si>
    <t>きゅうりとわかめのサラダ</t>
  </si>
  <si>
    <t>①食べやすい大きさに切った野菜は茹で冷まします。わかめは戻して茹で冷まします。_x000D_</t>
  </si>
  <si>
    <t>②調味料を煮立て冷まし、①を加えて和えて下さい。_x000D_</t>
  </si>
  <si>
    <t>きゅうり</t>
  </si>
  <si>
    <t>フルーツ（りんご）</t>
  </si>
  <si>
    <t>※原料のまま流水できれいに洗って下さい。</t>
  </si>
  <si>
    <t>りんご</t>
  </si>
  <si>
    <t>乳・卵・小麦</t>
  </si>
  <si>
    <t>大根</t>
  </si>
  <si>
    <t>充てん豆腐</t>
  </si>
  <si>
    <t>丁</t>
  </si>
  <si>
    <t>小松菜</t>
  </si>
  <si>
    <t>フルーツ（みかん）</t>
  </si>
  <si>
    <t>みかん</t>
  </si>
  <si>
    <t>1月7日(火)配達/1月8日(水)食</t>
    <phoneticPr fontId="3"/>
  </si>
  <si>
    <t>れんこんの炊き込みおにぎり</t>
  </si>
  <si>
    <t>①材料は食べやすい大きさに切り、れんこんは水にさらします。肉は酒をふります。_x000D_</t>
  </si>
  <si>
    <t>れんこん</t>
  </si>
  <si>
    <t>白糸タラのカレーマヨ焼き</t>
  </si>
  <si>
    <t>①マヨネーズ・カレー粉を混ぜ合わせます。_x000D_</t>
  </si>
  <si>
    <t>②魚は水気をよくふき取り、塩・こしょうし、小麦粉をまぶします。_x000D_</t>
  </si>
  <si>
    <t>③天板に油をしいて、②を並べて180～200度に温めたオーブンで10～15分焼いていったん取り出します。_x000D_</t>
  </si>
  <si>
    <t>④③の上に①をのせて、再びオーブンで5分くらい焼き、茹でて刻んだパセリを散らします。_x000D_</t>
  </si>
  <si>
    <t>⑤茹でて食べやすい大きさに切ったトマトを添えて下さい。_x000D_</t>
  </si>
  <si>
    <t>※カレー粉には辛味があるので、香りが付く程度に少量入れて下さい。入れ過ぎにご注意ください。_x000D_</t>
  </si>
  <si>
    <t>純カレー粉</t>
  </si>
  <si>
    <t>トマト</t>
  </si>
  <si>
    <t>パセリ</t>
  </si>
  <si>
    <t>じゃが芋のきんぴら</t>
  </si>
  <si>
    <t>①野菜は食べやすい大きさに切り、芋は水にさらします。_x000D_</t>
  </si>
  <si>
    <t>②芋・ピーマンの順に炒め、だし汁・みりん・砂糖・正油で炒め煮して下さい。_x000D_</t>
  </si>
  <si>
    <t>※蓋をして蒸し煮にすると火が通りやすくなります。_x000D_</t>
  </si>
  <si>
    <t>じゃが芋</t>
  </si>
  <si>
    <t>ピーマン</t>
  </si>
  <si>
    <t>フルーツ（オレンジ）</t>
  </si>
  <si>
    <t>ネーブル</t>
  </si>
  <si>
    <t>春雨</t>
  </si>
  <si>
    <t>キャベツ</t>
  </si>
  <si>
    <t>1月8日(水)配達/1月9日(木)食</t>
    <phoneticPr fontId="3"/>
  </si>
  <si>
    <t>照り焼きハンバーグ</t>
  </si>
  <si>
    <t>①みじん切りした玉ねぎは炒めて、塩・こしょうし冷まします。_x000D_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</si>
  <si>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</si>
  <si>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</si>
  <si>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④肉汁の残ったフライパンに酒・砂糖・みりん・醤油を加えて煮立たせ、ハンバーグに絡めます。_x000D_</t>
  </si>
  <si>
    <t>ツナと粉豆腐の炒り煮</t>
  </si>
  <si>
    <t>①ツナは汁気をきり、野菜は食べやすい大きさに切ります。_x000D_</t>
  </si>
  <si>
    <t>②①・野菜・枝豆を炒め合わせ、調味料・粉豆腐を加えて汁気がなくなるまで炒めて下さい。_x000D_</t>
  </si>
  <si>
    <t>粉とうふ</t>
  </si>
  <si>
    <t>長ねぎ</t>
  </si>
  <si>
    <t>1月8日(水)配達/1月10日(金)食</t>
    <phoneticPr fontId="3"/>
  </si>
  <si>
    <t>納豆ごはん</t>
  </si>
  <si>
    <t>①煮立て冷ましただし汁・正油をあわせて納豆と混ぜます。_x000D_</t>
  </si>
  <si>
    <t>②ご飯にかける又は別に提供して下さい。_x000D_</t>
  </si>
  <si>
    <t>納豆</t>
  </si>
  <si>
    <t>助宗タラの煮付け</t>
  </si>
  <si>
    <t>①魚は水けをよくふき取り酒をふります。_x000D_</t>
  </si>
  <si>
    <t>②すりおろした生姜・調味料を煮立て、①・野菜を並べて落としぶたをして煮て下さい。_x000D_</t>
  </si>
  <si>
    <t>生姜</t>
  </si>
  <si>
    <t>白菜の玉子炒め</t>
  </si>
  <si>
    <t>②油を熱したフライパンで溶きほぐした玉子を炒めて一旦とりだします。_x000D_</t>
  </si>
  <si>
    <t>③ごま油で野菜を炒めて火が通ったら②を戻し入れて、塩・コショウ・正油で調味して下さい。_x000D_</t>
  </si>
  <si>
    <t>具だくさん汁</t>
  </si>
  <si>
    <t>さつま芋</t>
  </si>
  <si>
    <t>コンソメ</t>
  </si>
  <si>
    <t>レーズンＰ</t>
  </si>
  <si>
    <t>カリフォルニア</t>
  </si>
  <si>
    <t>※2</t>
  </si>
  <si>
    <t>あったか鶏の玉子とじうどん</t>
  </si>
  <si>
    <t>①野菜・肉は食べやすい大きさに切ります。_x000D_</t>
  </si>
  <si>
    <t>②①・油揚げを出し汁で20分程度煮て、調味料で味を調えます。溶き玉子を流し入れて火を通します。_x000D_</t>
  </si>
  <si>
    <t>③麺は12分程茹でて洗い、器に盛って②をかけて下さい。_x000D_</t>
  </si>
  <si>
    <t>大豆の甘辛揚げ焼き</t>
  </si>
  <si>
    <t>①芋は食べやすい大きさに切り、水にさらして水気をきります。全ての材料に片栗粉をまぶします。_x000D_</t>
  </si>
  <si>
    <t>②①を熱した多めの油で揚げ焼きします。_x000D_</t>
  </si>
  <si>
    <t>③②の油を切り、煮立てた調味料が熱いうちに和えて下さい。_x000D_</t>
  </si>
  <si>
    <t>助宗タラの揚げ煮</t>
  </si>
  <si>
    <t>②調味料で魚を煮て、食べやすい大きさに切って茹でた野菜を添えて下さい。_x000D_</t>
  </si>
  <si>
    <t>チャプチェ（春雨の炒め物）</t>
  </si>
  <si>
    <t>①春雨は茹でて食べやすい長さに切り、野菜は食べやすい大きさに切ります。_x000D_</t>
  </si>
  <si>
    <t>1月14日(火)配達/1月15日(水)食</t>
    <phoneticPr fontId="3"/>
  </si>
  <si>
    <t>玉子と野菜のオイスター炒め</t>
  </si>
  <si>
    <t>①肉は酒をふり片栗粉をもみこみ、野菜は食べやすい大きさに切ります。_x000D_</t>
  </si>
  <si>
    <t>②フライパンにごま油を熱し、溶き玉子を炒めて半熟状になったら取り出します。_x000D_</t>
  </si>
  <si>
    <t>オイスターソースＰ</t>
  </si>
  <si>
    <t>ポテトサラダ</t>
  </si>
  <si>
    <t>②煮立て冷ました調味料と①を和えて下さい。_x000D_</t>
  </si>
  <si>
    <t>チンゲン菜</t>
  </si>
  <si>
    <t>1月15日(水)配達/1月16日(木)食</t>
    <phoneticPr fontId="3"/>
  </si>
  <si>
    <t>④野菜は食べやすい大きさに切って茹で冷まし、煮立て冷ましただし汁・正油と和えて、添えて下さい。_x000D_</t>
  </si>
  <si>
    <t>②ごま油で食材を炒めて調味し、刻んで茹でた万能ねぎを散らして下さい。_x000D_</t>
  </si>
  <si>
    <t>厚揚げ</t>
  </si>
  <si>
    <t>万能ねぎ</t>
  </si>
  <si>
    <t>ウインナー</t>
  </si>
  <si>
    <t>本</t>
  </si>
  <si>
    <t>かぼちゃ</t>
  </si>
  <si>
    <t>1月16日(木)配達/1月17日(金)食</t>
    <phoneticPr fontId="3"/>
  </si>
  <si>
    <t>ブロッコリー</t>
  </si>
  <si>
    <t>フルーツ（バナナ）</t>
  </si>
  <si>
    <t>バナナ</t>
  </si>
  <si>
    <t>もやし</t>
  </si>
  <si>
    <t>ニラ</t>
  </si>
  <si>
    <t>1月17日(金)配達/1月20日(月)食</t>
    <phoneticPr fontId="3"/>
  </si>
  <si>
    <t>パプリカ赤</t>
  </si>
  <si>
    <t>1月20日(月)配達/1月21日(火)食</t>
    <phoneticPr fontId="3"/>
  </si>
  <si>
    <t>1月21日(火)配達/1月22日(水)食</t>
    <phoneticPr fontId="3"/>
  </si>
  <si>
    <t>●雪だるまライス</t>
  </si>
  <si>
    <t>①洗った米はコンソメ・バターを加えて通常の水加減で炊飯し、丸型を2つ作って雪だるまの形にします。_x000D_</t>
  </si>
  <si>
    <t>②人参は角切りにして茹で冷まし、帽子にします。茹でたレーズンで目にします。_x000D_</t>
  </si>
  <si>
    <t>③茹でたウインナーは3等分に切り、先端を鼻にしてその他の部分で手にします。_x000D_</t>
  </si>
  <si>
    <t>④チーズは縦3等分に切り、首に巻いてマフラーにします。_x000D_</t>
  </si>
  <si>
    <t>⑤グリンピースは茹でてボタンにして下さい。_x000D_</t>
  </si>
  <si>
    <t>※図を参照して盛りつけて下さい。_x000D_</t>
  </si>
  <si>
    <t>冷蔵スライスチーズ</t>
  </si>
  <si>
    <t>1月22日(水)配達/1月23日(木)食</t>
    <phoneticPr fontId="3"/>
  </si>
  <si>
    <t>1月23日(木)配達/1月24日(金)食</t>
    <phoneticPr fontId="3"/>
  </si>
  <si>
    <t>②すりおろした生姜・調味料を煮立て、①・食べやすい大きさに切った野菜を並べて落としぶたをして煮て下さい。_x000D_</t>
  </si>
  <si>
    <t>1月24日(金)配達/1月27日(月)食</t>
    <phoneticPr fontId="3"/>
  </si>
  <si>
    <t>1月28日(火)配達/1月29日(水)食</t>
    <phoneticPr fontId="3"/>
  </si>
  <si>
    <t>1月29日(水)配達/1月30日(木)食</t>
    <phoneticPr fontId="3"/>
  </si>
  <si>
    <t>1月30日(木)配達/1月31日(金)食</t>
    <phoneticPr fontId="3"/>
  </si>
  <si>
    <t>もやしの玉子炒め</t>
    <phoneticPr fontId="17"/>
  </si>
  <si>
    <t>②肉・玉ねぎ・人参を炒め、水を加えて煮ます。途中でかぶを加えて煮、やわらかくなったらいったん火を</t>
  </si>
  <si>
    <t>止めてルーを溶かします。再び火にかけて牛乳を加えて煮、最後にほうれん草を加えてひと煮して下さい。</t>
  </si>
  <si>
    <t>②洗った米に、調味料・だし汁又は水(調味料と合わせて通常の炊飯水量)を加えて軽くまぜます。</t>
    <phoneticPr fontId="17"/>
  </si>
  <si>
    <t>上に材料を広げてのせて炊飯し、おにぎりにしてください。</t>
  </si>
  <si>
    <t>③②のフライパンに更にごま油を加え、肉・野菜の順に炒めて、火が通ったら②の玉子を</t>
    <phoneticPr fontId="17"/>
  </si>
  <si>
    <t>②肉・玉ねぎ・人参を炒め、水を加えて煮ます。途中でかぶを加えて煮、やわらかくなったらいったん火を止めて</t>
  </si>
  <si>
    <t>ルーを溶かします。再び火にかけて牛乳を加えて煮、最後にほうれん草を加えてひと煮して下さい。</t>
  </si>
  <si>
    <t>③②のフライパンに更にごま油を加え、肉・野菜の順に炒めて、火が通ったら②の玉子を加え炒めて、</t>
    <phoneticPr fontId="17"/>
  </si>
  <si>
    <t>④器に①を盛り③をかけ、茹でて食べやすい大きさに切ったキヌサヤを散らして下さい。_x000D_</t>
    <phoneticPr fontId="17"/>
  </si>
  <si>
    <t>①ほうれん草は茹でて食べやすい大きさに切ります。玉ねぎは薄切りに、</t>
    <phoneticPr fontId="17"/>
  </si>
  <si>
    <t>その他の材料は食べやすい大きさに切ります。</t>
  </si>
  <si>
    <t>⑤食べやすい大きさに切った小松菜・コーンはバターで炒め、塩をふって添えて下さい。_x000D_</t>
    <phoneticPr fontId="17"/>
  </si>
  <si>
    <t>1月10日(金)配達/1月14日(火)食</t>
    <phoneticPr fontId="3"/>
  </si>
  <si>
    <t>①魚は食べやすい大きさに切って水けをしっかりと拭き取り、片栗粉をまぶして揚げます。_x000D_</t>
  </si>
  <si>
    <t>②熱したごま油で酒をふった肉・野菜を炒めて、調味料・春雨を加えて、汁気を絡ませながら汁気が</t>
    <phoneticPr fontId="18"/>
  </si>
  <si>
    <t>なくなるぐらいまで炒めて、ごまを加えて下さい。</t>
  </si>
  <si>
    <t>1月27日(月)配達/1月28日(火)食</t>
    <phoneticPr fontId="3"/>
  </si>
  <si>
    <t>②熱したごま油で酒をふった肉・野菜を炒めて、調味料・春雨を加えて、汁気を絡ませながら</t>
    <phoneticPr fontId="18"/>
  </si>
  <si>
    <t>汁気がなくなるぐらいまで炒めて、ごまを加えて下さい。</t>
  </si>
  <si>
    <t>加え炒めて、オイスターソース・正油で調味して下さい。</t>
    <phoneticPr fontId="17"/>
  </si>
  <si>
    <t>オイスターソース・正油で調味して下さい。</t>
    <phoneticPr fontId="17"/>
  </si>
  <si>
    <t>③ごま油で野菜を炒めて火が通ったら②を戻し入れて、塩・コショウ・正油で調味し、</t>
    <phoneticPr fontId="17"/>
  </si>
  <si>
    <t>☆イベントメニュー☆</t>
    <phoneticPr fontId="17"/>
  </si>
  <si>
    <t>＜盛り付けイメージ＞</t>
    <rPh sb="1" eb="2">
      <t>モ</t>
    </rPh>
    <rPh sb="3" eb="4">
      <t>ツ</t>
    </rPh>
    <phoneticPr fontId="17"/>
  </si>
  <si>
    <t>刻んで茹でた万能ねぎを散らして下さい。</t>
    <rPh sb="3" eb="4">
      <t>ユ</t>
    </rPh>
    <phoneticPr fontId="17"/>
  </si>
  <si>
    <t>①芋は蒸す又は茹でて、粗く潰し冷まします。きゅうりは食べやすい大きさに切って茹で冷まします。_x000D_</t>
    <rPh sb="15" eb="16">
      <t>サ</t>
    </rPh>
    <phoneticPr fontId="17"/>
  </si>
  <si>
    <t>パプリカ赤</t>
    <rPh sb="4" eb="5">
      <t>アカ</t>
    </rPh>
    <phoneticPr fontId="17"/>
  </si>
  <si>
    <t>パイン缶　</t>
    <phoneticPr fontId="18"/>
  </si>
  <si>
    <t>小松菜</t>
    <rPh sb="0" eb="3">
      <t>コマツナ</t>
    </rPh>
    <phoneticPr fontId="17"/>
  </si>
  <si>
    <t>特定アレルゲン表示　　　　　　　　　　　　　　　　　　　　　　　　　　　　　　　　　　　　　　　　　　　　　　　　　　　　　　　　　　　　　　　　　　　　　　　　　　　　　　　　　　　　　　　　　　　　　　　　　　　　　　　　　　　　　　　　　　　　　　　　　　　　　　　　　　　　　　　　　　　　　　　　　　　　　　　　　　　　　</t>
    <rPh sb="0" eb="2">
      <t>トクテイ</t>
    </rPh>
    <rPh sb="7" eb="9">
      <t>ヒョウジ</t>
    </rPh>
    <phoneticPr fontId="3"/>
  </si>
  <si>
    <t>特定アレルゲン表示　　　　　　　　　　　　　　　　　　　　　　　　　　　　　　　　　　　　　　　　　　　　　　　　　　　　　　　　　　　　　　　　　　　　　　　　　　　　　　　　　　　　　　　　　　　　　　　　　　　　　　　　　　　　　　　　　　　　　　　　　　　　　　　　　　　　　　　　　　　　　　　　　　　　　　　　　　　　　　　</t>
    <rPh sb="0" eb="2">
      <t>トクテイ</t>
    </rPh>
    <rPh sb="7" eb="9">
      <t>ヒョウジ</t>
    </rPh>
    <phoneticPr fontId="3"/>
  </si>
  <si>
    <t>バナナペースト</t>
  </si>
  <si>
    <t>ブロッコリー・人参ペースト</t>
  </si>
  <si>
    <t>ブロッコリーと人参のサラダ</t>
  </si>
  <si>
    <t>玉ねぎのトマト煮ペースト</t>
  </si>
  <si>
    <t>鶏肉のトマト煮</t>
  </si>
  <si>
    <t>豚肉のトマト煮</t>
  </si>
  <si>
    <t>おかゆ・玉ねぎ・カットトマトパック・ブロッコリー・人参・バナナ</t>
  </si>
  <si>
    <t>かゆペースト</t>
  </si>
  <si>
    <t>おかゆ・鶏肉・玉ねぎ・カットトマトパック・水・精製塩・ブロッコリー・人参・バナナ</t>
  </si>
  <si>
    <t>かゆ</t>
  </si>
  <si>
    <t>おかゆ・豚肉・玉ねぎ・カットトマトパック・水・精製塩・ブロッコリー・人参・バナナ</t>
  </si>
  <si>
    <t>金</t>
  </si>
  <si>
    <t>大根ペースト</t>
  </si>
  <si>
    <t>助宗タラ・小松菜・玉ねぎペースト</t>
  </si>
  <si>
    <t>助宗タラと小松菜のくたくた煮</t>
  </si>
  <si>
    <t>おかゆ・スケソウタラ・小松菜・玉ねぎ・大根・みかん</t>
  </si>
  <si>
    <t>おかゆ・スケソウタラ・小松菜・玉ねぎ・パプリカ赤・出し汁・ワカメ・大根・醤油・みかん</t>
  </si>
  <si>
    <t>木</t>
  </si>
  <si>
    <t>豆腐・チンゲン菜ペースト</t>
  </si>
  <si>
    <t>人参・じゃが芋ペースト</t>
  </si>
  <si>
    <t>鶏肉の玉子とじ煮</t>
  </si>
  <si>
    <t>豚肉の玉子とじ煮</t>
  </si>
  <si>
    <t>おかゆ・人参・じゃが芋・豆腐・チンゲン菜</t>
  </si>
  <si>
    <t>おかゆ・鶏肉・人参・ピーマン・玉子・出し汁・砂糖・醤油・じゃが芋・きゅうり・チンゲン菜・豆腐・味噌</t>
  </si>
  <si>
    <t>おかゆ・豚肉・もやし・人参・ピーマン・玉子・出し汁・砂糖・醤油・じゃが芋・きゅうり・チンゲン菜・豆腐・味噌</t>
  </si>
  <si>
    <t>みそ汁・フルーツ（みかん）</t>
    <phoneticPr fontId="3"/>
  </si>
  <si>
    <t>玉ねぎ・キャベツ・人参ペースト</t>
  </si>
  <si>
    <t>鶏肉と玉ねぎのやわらか煮</t>
  </si>
  <si>
    <t>豚肉と玉ねぎのやわらか煮</t>
  </si>
  <si>
    <t>助宗タラ・ブロッコリーペースト</t>
  </si>
  <si>
    <t>助宗タラとブロッコリーのだし煮</t>
  </si>
  <si>
    <t>玉ねぎ・人参・じゃが芋ペースト</t>
  </si>
  <si>
    <t>おかゆ・スケソウタラ・ブロッコリー・玉ねぎ・キャベツ・人参・みかん</t>
  </si>
  <si>
    <t>おかゆ・スケソウタラ・ブロッコリー・出し汁・鶏肉・玉ねぎ・人参・砂糖・醤油・キャベツ・ワカメ・味噌・みかん</t>
  </si>
  <si>
    <t>おかゆ・スケソウタラ・ブロッコリー・出し汁・豚肉・玉ねぎ・人参・砂糖・醤油・キャベツ・ワカメ・味噌・みかん</t>
  </si>
  <si>
    <t>火</t>
  </si>
  <si>
    <t>おかゆ・玉ねぎ・人参・じゃが芋・豆腐・チンゲン菜</t>
  </si>
  <si>
    <t>おかゆ・鶏肉・玉ねぎ・人参・ピーマン・玉子・出し汁・砂糖・醤油・じゃが芋・きゅうり・チンゲン菜・豆腐・味噌</t>
  </si>
  <si>
    <t>おかゆ・豚肉・玉ねぎ・人参・ピーマン・玉子・出し汁・砂糖・醤油・じゃが芋・きゅうり・チンゲン菜・豆腐・味噌</t>
  </si>
  <si>
    <t>りんごペースト</t>
  </si>
  <si>
    <t>さつま芋ペースト</t>
  </si>
  <si>
    <t>玉ねぎ・キャベツペースト</t>
  </si>
  <si>
    <t>かぶ・ほうれん草・人参ペースト</t>
  </si>
  <si>
    <t>さつま芋のマッシュ</t>
  </si>
  <si>
    <t>大豆とさつま芋のマッシュ</t>
  </si>
  <si>
    <t>助宗タラ・ブロッコリー・インゲンペースト</t>
  </si>
  <si>
    <t>うどん・かぶ・ほうれん草・人参・さつま芋・りんご</t>
  </si>
  <si>
    <t>うどんペースト</t>
  </si>
  <si>
    <t>うどん・鶏肉・かぶ・ほうれん草・人参・玉子・出し汁・醤油・砂糖・さつま芋・りんご</t>
  </si>
  <si>
    <t>鶏肉のくたくたかき玉うどん</t>
  </si>
  <si>
    <t>うどん・鶏肉・かぶ・ほうれん草・人参・玉子・出し汁・醤油・砂糖・大豆・さつま芋・りんご</t>
  </si>
  <si>
    <t>月</t>
  </si>
  <si>
    <t>おかゆ・スケソウタラ・ブロッコリー・インゲン・玉ねぎ・キャベツ</t>
  </si>
  <si>
    <t>おかゆ・スケソウタラ・ブロッコリー・出し汁・鶏肉・玉ねぎ・赤ピーマン・インゲン・砂糖・醤油・キャベツ・ワカメ・味噌</t>
  </si>
  <si>
    <t>おかゆ・スケソウタラ・ブロッコリー・出し汁・豚肉・玉ねぎ・赤ピーマン・インゲン・砂糖・醤油・キャベツ・ワカメ・味噌</t>
  </si>
  <si>
    <t>大根・豆腐ペースト</t>
  </si>
  <si>
    <t>白菜・インゲンペースト</t>
  </si>
  <si>
    <t>白菜の玉子とじ煮</t>
  </si>
  <si>
    <t>助宗タラ・人参ペースト</t>
  </si>
  <si>
    <t>助宗タラと野菜の玉子とじ煮</t>
  </si>
  <si>
    <t>助宗タラと野菜の玉子とじ</t>
  </si>
  <si>
    <t>助宗タラと人参のやわらか煮</t>
  </si>
  <si>
    <t>おかゆ・スケソウタラ・人参・大根・豆腐</t>
  </si>
  <si>
    <t>おかゆ・スケソウタラ・人参・玉子・出し汁・大根・ワカメ・豆腐・味噌</t>
  </si>
  <si>
    <t>おかゆ・スケソウタラ・人参・もやし・玉子・出し汁・大根・ワカメ・豆腐・味噌</t>
  </si>
  <si>
    <t>おかゆ・スケソウタラ・人参・白菜・インゲン・大根・豆腐</t>
  </si>
  <si>
    <t>おかゆ・スケソウタラ・人参・出し汁・白菜・インゲン・玉子・砂糖・醤油・大根・ワカメ・豆腐・味噌</t>
  </si>
  <si>
    <t>人参ペースト</t>
  </si>
  <si>
    <t>炒り粉豆腐</t>
  </si>
  <si>
    <t>玉ねぎ・小松菜ペースト</t>
  </si>
  <si>
    <t>鶏肉と小松菜のくたくた煮</t>
  </si>
  <si>
    <t>豚肉と小松菜のくたくた煮</t>
  </si>
  <si>
    <t>おかゆ・玉ねぎ・小松菜・人参</t>
  </si>
  <si>
    <t>おかゆ・鶏肉・玉ねぎ・小松菜・出し汁・砂糖・醤油・粉豆腐・人参・花ふ</t>
  </si>
  <si>
    <t>おかゆ・豚肉・玉ねぎ・小松菜・出し汁・砂糖・醤油・粉豆腐・人参・花ふ</t>
  </si>
  <si>
    <t>じゃが芋ペースト</t>
  </si>
  <si>
    <t>じゃが芋のだし煮</t>
  </si>
  <si>
    <t>白糸タラのトマト煮ペースト</t>
  </si>
  <si>
    <t>白糸タラのトマト煮</t>
  </si>
  <si>
    <t>おかゆ・人参・シロイトタラ・トマト・じゃが芋・オレンジ</t>
  </si>
  <si>
    <t>人参かゆペースト</t>
  </si>
  <si>
    <t>おかゆ・人参・シロイトタラ・トマト・水・精製塩・じゃが芋・ピーマン・出し汁・オレンジ</t>
  </si>
  <si>
    <t>人参のかゆ</t>
  </si>
  <si>
    <t>おかゆ・鶏肉・人参・シロイトタラ・トマト・水・精製塩・じゃが芋・ピーマン・出し汁・オレンジ</t>
  </si>
  <si>
    <t>鶏肉と人参のかゆ</t>
  </si>
  <si>
    <t>おかゆ・豚肉・人参・シロイトタラ・トマト・水・精製塩・じゃが芋・ピーマン・出し汁・オレンジ</t>
  </si>
  <si>
    <t>豚肉と人参のかゆ</t>
  </si>
  <si>
    <t>玉ねぎ・人参ペースト</t>
  </si>
  <si>
    <t>かぶ・ほうれん草ペースト</t>
  </si>
  <si>
    <t>鶏肉と冬野菜のミルク煮</t>
  </si>
  <si>
    <t>おかゆ・かぶ・ほうれん草・玉ねぎ・人参・りんご</t>
  </si>
  <si>
    <t>おかゆ・鶏肉・玉ねぎ・かぶ・人参・ほうれん草・牛乳・水・精製塩・きゅうり・ワカメ・りんご</t>
  </si>
  <si>
    <t>みそ汁・フルーツ（オレンジ）</t>
    <phoneticPr fontId="3"/>
  </si>
  <si>
    <t>かぼちゃペースト</t>
  </si>
  <si>
    <t>かぼちゃのマッシュ</t>
  </si>
  <si>
    <t>カラスカレイ・玉ねぎ・人参ペースト</t>
  </si>
  <si>
    <t>カラスカレイのとろとろ煮</t>
  </si>
  <si>
    <t>おかゆ・カラスカレイ・玉ねぎ・人参・かぼちゃ・オレンジ</t>
  </si>
  <si>
    <t>おかゆ・カラスカレイ・玉ねぎ・人参・出し汁・片栗粉・かぼちゃ・花ふ・玉子・味噌・オレンジ</t>
  </si>
  <si>
    <t>おかゆ・カラスカレイ・玉ねぎ・人参・かぼちゃ</t>
  </si>
  <si>
    <t>おかゆ・カラスカレイ・玉ねぎ・人参・出し汁・片栗粉・かぼちゃ・花ふ・玉子・味噌</t>
  </si>
  <si>
    <t>使用食材一覧</t>
    <rPh sb="0" eb="2">
      <t>シヨウ</t>
    </rPh>
    <rPh sb="2" eb="4">
      <t>ショクザイ</t>
    </rPh>
    <rPh sb="4" eb="6">
      <t>イチラン</t>
    </rPh>
    <phoneticPr fontId="3"/>
  </si>
  <si>
    <t>昼</t>
    <rPh sb="0" eb="1">
      <t>ヒル</t>
    </rPh>
    <phoneticPr fontId="3"/>
  </si>
  <si>
    <t>初期（5～6ヶ月）</t>
    <rPh sb="0" eb="2">
      <t>ショキ</t>
    </rPh>
    <rPh sb="7" eb="8">
      <t>ゲツ</t>
    </rPh>
    <phoneticPr fontId="3"/>
  </si>
  <si>
    <t>中期（7～8ヶ月）</t>
    <rPh sb="0" eb="2">
      <t>チュウキ</t>
    </rPh>
    <rPh sb="7" eb="8">
      <t>ゲツ</t>
    </rPh>
    <phoneticPr fontId="3"/>
  </si>
  <si>
    <t>後期（9～11ヶ月）</t>
    <rPh sb="0" eb="1">
      <t>ウシ</t>
    </rPh>
    <rPh sb="1" eb="2">
      <t>キ</t>
    </rPh>
    <rPh sb="8" eb="9">
      <t>ゲツ</t>
    </rPh>
    <phoneticPr fontId="3"/>
  </si>
  <si>
    <t>曜日</t>
    <rPh sb="0" eb="2">
      <t>ヨウビ</t>
    </rPh>
    <phoneticPr fontId="3"/>
  </si>
  <si>
    <t>離乳食</t>
    <rPh sb="0" eb="3">
      <t>リニュウショク</t>
    </rPh>
    <phoneticPr fontId="3"/>
  </si>
  <si>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</si>
  <si>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</si>
  <si>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</si>
  <si>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</si>
  <si>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</si>
  <si>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</si>
  <si>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</si>
  <si>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</si>
  <si>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</si>
  <si>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4"/>
  </si>
  <si>
    <t>エネルギー
たんぱく質
脂質
炭水化物
塩分</t>
    <phoneticPr fontId="3"/>
  </si>
  <si>
    <t>おやつ</t>
    <phoneticPr fontId="3"/>
  </si>
  <si>
    <t>ご飯・バター・花ふ・砂糖・片栗粉・油・ホットケーキミックス・マーマレード</t>
    <phoneticPr fontId="34"/>
  </si>
  <si>
    <t>カラスカレイ・玉子・牛乳・豆乳</t>
    <rPh sb="10" eb="12">
      <t>ギュウニュウ</t>
    </rPh>
    <rPh sb="13" eb="15">
      <t>トウニュウ</t>
    </rPh>
    <phoneticPr fontId="34"/>
  </si>
  <si>
    <t>かぼちゃ・キヌサヤ・玉ねぎ・人参・白桃缶</t>
  </si>
  <si>
    <t>kcal</t>
    <phoneticPr fontId="3"/>
  </si>
  <si>
    <t>乳・卵・小麦_x000D_
※18</t>
    <phoneticPr fontId="3"/>
  </si>
  <si>
    <t>牛乳</t>
    <rPh sb="0" eb="2">
      <t>ギュウニュウ</t>
    </rPh>
    <phoneticPr fontId="34"/>
  </si>
  <si>
    <t>ご飯・バター・花ふ・砂糖・片栗粉・油</t>
    <phoneticPr fontId="34"/>
  </si>
  <si>
    <t>カラスカレイ・玉子・鶏肉・牛乳・豚肉</t>
    <rPh sb="10" eb="12">
      <t>トリニク</t>
    </rPh>
    <rPh sb="13" eb="15">
      <t>ギュウニュウ</t>
    </rPh>
    <rPh sb="16" eb="18">
      <t>ブタニク</t>
    </rPh>
    <phoneticPr fontId="34"/>
  </si>
  <si>
    <t>オレンジ・かぼちゃ・キヌサヤ・玉ねぎ・人参・大根・小松菜・青のり</t>
    <rPh sb="22" eb="24">
      <t>ダイコン</t>
    </rPh>
    <rPh sb="25" eb="28">
      <t>コマツナ</t>
    </rPh>
    <rPh sb="29" eb="30">
      <t>アオ</t>
    </rPh>
    <phoneticPr fontId="34"/>
  </si>
  <si>
    <t>kcal</t>
    <phoneticPr fontId="3"/>
  </si>
  <si>
    <t>乳・卵・小麦_x000D_
※18</t>
    <phoneticPr fontId="3"/>
  </si>
  <si>
    <t>ｇ</t>
    <phoneticPr fontId="3"/>
  </si>
  <si>
    <t>オレンジ蒸しパン</t>
    <rPh sb="4" eb="5">
      <t>ム</t>
    </rPh>
    <phoneticPr fontId="34"/>
  </si>
  <si>
    <t>雑炊</t>
    <rPh sb="0" eb="2">
      <t>ゾウスイ</t>
    </rPh>
    <phoneticPr fontId="34"/>
  </si>
  <si>
    <t>&lt;大寒&gt;</t>
    <rPh sb="1" eb="2">
      <t>ダイ</t>
    </rPh>
    <rPh sb="2" eb="3">
      <t>カン</t>
    </rPh>
    <phoneticPr fontId="3"/>
  </si>
  <si>
    <t>ご飯・砂糖・油</t>
  </si>
  <si>
    <t>牛乳・鶏肉</t>
  </si>
  <si>
    <t>かぶ・きゅうり・ほうれん草・りんご・ワカメ・玉ねぎ・人参・大根・小松菜</t>
    <rPh sb="29" eb="31">
      <t>ダイコン</t>
    </rPh>
    <rPh sb="32" eb="35">
      <t>コマツナ</t>
    </rPh>
    <phoneticPr fontId="34"/>
  </si>
  <si>
    <t>ご飯・砂糖・油・ホットケーキミックス・マーマレード</t>
    <phoneticPr fontId="34"/>
  </si>
  <si>
    <t>牛乳・鶏肉・豆乳</t>
    <rPh sb="6" eb="8">
      <t>トウニュウ</t>
    </rPh>
    <phoneticPr fontId="34"/>
  </si>
  <si>
    <t>かぶ・きゅうり・ほうれん草・りんご・ワカメ・玉ねぎ・人参</t>
  </si>
  <si>
    <t>七草風雑炊</t>
    <rPh sb="0" eb="2">
      <t>ナナクサ</t>
    </rPh>
    <rPh sb="2" eb="3">
      <t>フウ</t>
    </rPh>
    <rPh sb="3" eb="5">
      <t>ゾウスイ</t>
    </rPh>
    <phoneticPr fontId="34"/>
  </si>
  <si>
    <t>&lt;七草&gt;</t>
    <rPh sb="1" eb="3">
      <t>ナナクサ</t>
    </rPh>
    <phoneticPr fontId="3"/>
  </si>
  <si>
    <t>8
水</t>
    <rPh sb="2" eb="3">
      <t>スイ</t>
    </rPh>
    <phoneticPr fontId="3"/>
  </si>
  <si>
    <t>イベント献立</t>
    <rPh sb="4" eb="6">
      <t>コンダテ</t>
    </rPh>
    <phoneticPr fontId="3"/>
  </si>
  <si>
    <t>ご飯・じゃが芋・マヨネーズ・砂糖・小麦粉・油・マカロニ</t>
    <phoneticPr fontId="34"/>
  </si>
  <si>
    <t>シロイトタラ・豚肉・牛乳・きなこ</t>
    <rPh sb="10" eb="12">
      <t>ギュウニュウ</t>
    </rPh>
    <phoneticPr fontId="34"/>
  </si>
  <si>
    <t>オレンジ・トマト・パセリ・ピーマン・れんこん・人参</t>
  </si>
  <si>
    <t>22
水</t>
    <rPh sb="3" eb="4">
      <t>スイ</t>
    </rPh>
    <phoneticPr fontId="3"/>
  </si>
  <si>
    <t>雪だるまライス</t>
    <phoneticPr fontId="3"/>
  </si>
  <si>
    <t>ご飯・じゃが芋・バター・マヨネーズ・砂糖・小麦粉・油・マカロニ</t>
    <phoneticPr fontId="34"/>
  </si>
  <si>
    <t>ウインナー・シロイトタラ・チーズ・牛乳・きなこ</t>
    <rPh sb="17" eb="19">
      <t>ギュウニュウ</t>
    </rPh>
    <phoneticPr fontId="34"/>
  </si>
  <si>
    <t>オレンジ・グリンピース・トマト・パセリ・ピーマン・レーズン・人参</t>
  </si>
  <si>
    <t>乳・卵・小麦_x000D_
※2</t>
    <phoneticPr fontId="3"/>
  </si>
  <si>
    <t>ｇ</t>
    <phoneticPr fontId="3"/>
  </si>
  <si>
    <t>マカロニきなこ</t>
    <phoneticPr fontId="34"/>
  </si>
  <si>
    <t>ごま油・ご飯・バター・パン粉・花ふ・砂糖・油・ホットケーキ・黒糖</t>
    <rPh sb="30" eb="32">
      <t>コクトウ</t>
    </rPh>
    <phoneticPr fontId="34"/>
  </si>
  <si>
    <t>ツナフレーク缶・豆乳・豚肉・粉豆腐・牛乳</t>
    <rPh sb="18" eb="20">
      <t>ギュウニュウ</t>
    </rPh>
    <phoneticPr fontId="34"/>
  </si>
  <si>
    <t>コーン・玉ねぎ・枝豆・小松菜・人参・長ねぎ</t>
  </si>
  <si>
    <t>ごま油・ご飯・バター・パン粉・花ふ・砂糖・油・ホットケーキミックス・黒糖</t>
    <rPh sb="34" eb="36">
      <t>コクトウ</t>
    </rPh>
    <phoneticPr fontId="34"/>
  </si>
  <si>
    <t>黒糖入りドーナツ</t>
    <rPh sb="0" eb="2">
      <t>コクトウ</t>
    </rPh>
    <rPh sb="2" eb="3">
      <t>イ</t>
    </rPh>
    <phoneticPr fontId="34"/>
  </si>
  <si>
    <t>ごま油・ご飯・砂糖・油・ビスケット・せんべい</t>
    <phoneticPr fontId="34"/>
  </si>
  <si>
    <t>スケソウタラ・玉子・豆腐・納豆・牛乳</t>
    <rPh sb="16" eb="18">
      <t>ギュウニュウ</t>
    </rPh>
    <phoneticPr fontId="34"/>
  </si>
  <si>
    <t>インゲン・ワカメ・人参・生姜・大根・白菜</t>
  </si>
  <si>
    <t>ごま油・ご飯・砂糖・油・クッキー・せんべい</t>
    <phoneticPr fontId="34"/>
  </si>
  <si>
    <t>もやし・ワカメ・人参・生姜・大根・万能ねぎ</t>
  </si>
  <si>
    <t>ビスケット</t>
    <phoneticPr fontId="34"/>
  </si>
  <si>
    <t>クッキー</t>
    <phoneticPr fontId="34"/>
  </si>
  <si>
    <t>せんべい</t>
    <phoneticPr fontId="34"/>
  </si>
  <si>
    <t>もやしの玉子炒め</t>
  </si>
  <si>
    <t>ごま・ごま油・ご飯・砂糖・春雨・片栗粉・油ホットケーキミックス・小豆</t>
    <phoneticPr fontId="34"/>
  </si>
  <si>
    <t>スケソウタラ・豚肉・牛乳・豆乳</t>
    <rPh sb="10" eb="11">
      <t>ギュウ</t>
    </rPh>
    <rPh sb="11" eb="12">
      <t>ニュウ</t>
    </rPh>
    <rPh sb="13" eb="15">
      <t>トウニュウ</t>
    </rPh>
    <phoneticPr fontId="34"/>
  </si>
  <si>
    <t>インゲン・キャベツ・パイナップル缶・ブロッコリー・ワカメ・玉ねぎ・赤ピーマン</t>
  </si>
  <si>
    <t>うどん・さつま芋・砂糖・片栗粉・油・鈴カステラ・クラッカー</t>
    <rPh sb="18" eb="19">
      <t>スズ</t>
    </rPh>
    <phoneticPr fontId="34"/>
  </si>
  <si>
    <t>玉子・鶏肉・大豆・油揚げ・牛乳</t>
    <rPh sb="13" eb="15">
      <t>ギュウニュウ</t>
    </rPh>
    <phoneticPr fontId="34"/>
  </si>
  <si>
    <t>かぶ・ほうれん草・りんご・人参</t>
  </si>
  <si>
    <t>卵・小麦_x000D_
※14</t>
    <phoneticPr fontId="3"/>
  </si>
  <si>
    <t>小豆入りカップケーキ</t>
    <rPh sb="0" eb="2">
      <t>アズキ</t>
    </rPh>
    <rPh sb="2" eb="3">
      <t>イ</t>
    </rPh>
    <phoneticPr fontId="34"/>
  </si>
  <si>
    <t>鈴カステラ</t>
    <rPh sb="0" eb="1">
      <t>スズ</t>
    </rPh>
    <phoneticPr fontId="34"/>
  </si>
  <si>
    <t>クラッカー</t>
    <phoneticPr fontId="34"/>
  </si>
  <si>
    <t>ごま油・ご飯・じゃが芋・マヨネーズ・砂糖・片栗粉・食パン・イチゴジャム</t>
    <rPh sb="25" eb="26">
      <t>ショク</t>
    </rPh>
    <phoneticPr fontId="34"/>
  </si>
  <si>
    <t>玉子・豆腐・豚肉・牛乳</t>
    <rPh sb="9" eb="11">
      <t>ギュウニュウ</t>
    </rPh>
    <phoneticPr fontId="34"/>
  </si>
  <si>
    <t>きゅうり・チンゲン菜・ピーマン・玉ねぎ・人参</t>
  </si>
  <si>
    <t>卵・小麦_x000D_
※18</t>
    <phoneticPr fontId="3"/>
  </si>
  <si>
    <t>kcal</t>
    <phoneticPr fontId="3"/>
  </si>
  <si>
    <t>卵・小麦_x000D_
※18</t>
    <phoneticPr fontId="3"/>
  </si>
  <si>
    <t>ごま・ごま油・ご飯・砂糖・春雨・片栗粉・油・ホットケーキミックス・小豆</t>
    <rPh sb="33" eb="35">
      <t>アズキ</t>
    </rPh>
    <phoneticPr fontId="34"/>
  </si>
  <si>
    <t>スケソウタラ・豚肉・牛乳・豆乳</t>
    <rPh sb="10" eb="12">
      <t>ギュウニュウ</t>
    </rPh>
    <rPh sb="13" eb="15">
      <t>トウニュウ</t>
    </rPh>
    <phoneticPr fontId="34"/>
  </si>
  <si>
    <t>キャベツ・ニラ・ブロッコリー・みかん・ワカメ・玉ねぎ・人参</t>
  </si>
  <si>
    <t>ジャムサンド</t>
    <phoneticPr fontId="34"/>
  </si>
  <si>
    <t>ごま油・ご飯・バター・マヨネーズ・砂糖・小麦粉・油・さつま芋・焼き菓子</t>
    <rPh sb="29" eb="30">
      <t>イモ</t>
    </rPh>
    <rPh sb="31" eb="32">
      <t>ヤ</t>
    </rPh>
    <rPh sb="33" eb="35">
      <t>ガシ</t>
    </rPh>
    <phoneticPr fontId="34"/>
  </si>
  <si>
    <t>スケソウタラ・厚揚げ・牛乳</t>
    <rPh sb="11" eb="13">
      <t>ギュウニュウ</t>
    </rPh>
    <phoneticPr fontId="34"/>
  </si>
  <si>
    <t>パプリカ赤・みかん・ワカメ・玉ねぎ・小松菜・大根・万能ねぎ</t>
  </si>
  <si>
    <t>ごま油・ご飯・じゃが芋・マヨネーズ・砂糖・片栗粉・食パン</t>
    <rPh sb="25" eb="26">
      <t>ショク</t>
    </rPh>
    <phoneticPr fontId="34"/>
  </si>
  <si>
    <t>玉子・豆腐・豚肉・牛乳・食パン・イチゴジャム</t>
    <rPh sb="9" eb="11">
      <t>ギュウニュウ</t>
    </rPh>
    <rPh sb="12" eb="13">
      <t>ショク</t>
    </rPh>
    <phoneticPr fontId="34"/>
  </si>
  <si>
    <t>きゅうり・チンゲン菜・ピーマン・もやし・人参</t>
  </si>
  <si>
    <t>卵・小麦_x000D_
※18</t>
    <phoneticPr fontId="3"/>
  </si>
  <si>
    <t>ふかし芋</t>
    <rPh sb="3" eb="4">
      <t>イモ</t>
    </rPh>
    <phoneticPr fontId="34"/>
  </si>
  <si>
    <t>ジャムサンド</t>
    <phoneticPr fontId="34"/>
  </si>
  <si>
    <t>焼き菓子</t>
    <rPh sb="0" eb="1">
      <t>ヤ</t>
    </rPh>
    <rPh sb="2" eb="4">
      <t>ガシ</t>
    </rPh>
    <phoneticPr fontId="34"/>
  </si>
  <si>
    <t>ご飯・マカロニ・マヨネーズ・砂糖・油・ウエハース・クラッカー</t>
    <phoneticPr fontId="34"/>
  </si>
  <si>
    <t>豚肉・牛乳</t>
    <rPh sb="3" eb="5">
      <t>ギュウニュウ</t>
    </rPh>
    <phoneticPr fontId="34"/>
  </si>
  <si>
    <t>カットトマトパック・グリンピース・バナナ・ブロッコリー・玉ねぎ・人参</t>
  </si>
  <si>
    <t>卵・小麦_x000D_
※4</t>
    <phoneticPr fontId="3"/>
  </si>
  <si>
    <t>卵・小麦_x000D_
※4</t>
    <phoneticPr fontId="3"/>
  </si>
  <si>
    <t>スケソウタラ・絹厚揚げ・牛乳</t>
    <rPh sb="12" eb="14">
      <t>ギュウニュウ</t>
    </rPh>
    <phoneticPr fontId="34"/>
  </si>
  <si>
    <t>ウエハース</t>
    <phoneticPr fontId="34"/>
  </si>
  <si>
    <t>ご飯・マカロニ・マヨネーズ・砂糖・油・パイ・せんべい</t>
    <phoneticPr fontId="34"/>
  </si>
  <si>
    <t>パイ</t>
    <phoneticPr fontId="34"/>
  </si>
  <si>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</si>
  <si>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</si>
  <si>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</si>
  <si>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</si>
  <si>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</si>
  <si>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</si>
  <si>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</si>
  <si>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</si>
  <si>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</si>
  <si>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</si>
  <si>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</si>
  <si>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390/16.1/10.8/57.0/1.2未満</t>
    <rPh sb="22" eb="24">
      <t>ミマン</t>
    </rPh>
    <phoneticPr fontId="3"/>
  </si>
  <si>
    <t>1～2</t>
    <phoneticPr fontId="3"/>
  </si>
  <si>
    <t>285/11.8/7.9/41.7/0.9未満</t>
    <rPh sb="21" eb="23">
      <t>ミマン</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</si>
  <si>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</si>
  <si>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</si>
  <si>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※都合により、献立を変更する場合がございます。</t>
    <rPh sb="1" eb="3">
      <t>ツゴウ</t>
    </rPh>
    <rPh sb="7" eb="9">
      <t>コンダテ</t>
    </rPh>
    <rPh sb="10" eb="12">
      <t>ヘンコウ</t>
    </rPh>
    <rPh sb="14" eb="16">
      <t>バアイ</t>
    </rPh>
    <phoneticPr fontId="3"/>
  </si>
  <si>
    <t>※2　この商品は「えび」を含む製品と同じ施設で製造しておりますが、混入を最小限に抑えるように十分に配慮して生産されております。</t>
  </si>
  <si>
    <t>※4　この商品は「乳」を含む製品と同じ施設で製造しておりますが、混入を最小限に抑えるように十分に配慮して生産されております。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</si>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</sst>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2"/>
    <numFmt numFmtId="177" formatCode="#\ ?/4"/>
    <numFmt numFmtId="178" formatCode="#\ ?/8"/>
    <numFmt numFmtId="179" formatCode="#\ ?/10"/>
    <numFmt numFmtId="180" formatCode="#\ ?/6"/>
    <numFmt numFmtId="181" formatCode="0.0_ "/>
    <numFmt numFmtId="182" formatCode="0_ "/>
  </numFmts>
  <fonts count="38">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b/>
      <sz val="25"/>
      <name val="ＭＳ Ｐゴシック"/>
      <family val="3"/>
      <charset val="128"/>
    </font>
    <font>
      <sz val="11"/>
      <name val="ＭＳ Ｐ明朝"/>
      <family val="1"/>
      <charset val="128"/>
    </font>
    <font>
      <sz val="6"/>
      <name val="ＭＳ Ｐゴシック"/>
      <family val="3"/>
      <charset val="128"/>
      <scheme val="minor"/>
    </font>
    <font>
      <sz val="8"/>
      <color theme="1"/>
      <name val="ＭＳ Ｐゴシック"/>
      <family val="3"/>
      <charset val="128"/>
      <scheme val="minor"/>
    </font>
    <font>
      <sz val="8"/>
      <name val="ＭＳ Ｐ明朝"/>
      <family val="1"/>
      <charset val="128"/>
    </font>
    <font>
      <sz val="7"/>
      <color theme="1"/>
      <name val="ＭＳ Ｐゴシック"/>
      <family val="3"/>
      <charset val="128"/>
      <scheme val="minor"/>
    </font>
    <font>
      <sz val="7"/>
      <name val="ＭＳ Ｐ明朝"/>
      <family val="1"/>
      <charset val="128"/>
    </font>
    <font>
      <sz val="9"/>
      <color theme="1"/>
      <name val="ＭＳ Ｐゴシック"/>
      <family val="3"/>
      <charset val="128"/>
      <scheme val="minor"/>
    </font>
    <font>
      <sz val="9"/>
      <name val="ＭＳ Ｐ明朝"/>
      <family val="1"/>
      <charset val="128"/>
    </font>
    <font>
      <b/>
      <sz val="12"/>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6"/>
      <name val="ＭＳ Ｐゴシック"/>
      <family val="2"/>
      <charset val="128"/>
      <scheme val="minor"/>
    </font>
    <font>
      <sz val="10"/>
      <name val="ＭＳ Ｐ明朝"/>
      <family val="1"/>
      <charset val="128"/>
    </font>
    <font>
      <sz val="11"/>
      <color rgb="FFFF0000"/>
      <name val="ＭＳ Ｐ明朝"/>
      <family val="1"/>
      <charset val="128"/>
    </font>
    <font>
      <sz val="9"/>
      <color rgb="FFFF0000"/>
      <name val="ＭＳ Ｐ明朝"/>
      <family val="1"/>
      <charset val="128"/>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1ECFF"/>
        <bgColor indexed="64"/>
      </patternFill>
    </fill>
    <fill>
      <patternFill patternType="solid">
        <fgColor rgb="FFFFE5FF"/>
        <bgColor indexed="64"/>
      </patternFill>
    </fill>
    <fill>
      <patternFill patternType="solid">
        <fgColor rgb="FFFFFF00"/>
        <bgColor indexed="64"/>
      </patternFill>
    </fill>
    <fill>
      <patternFill patternType="solid">
        <fgColor rgb="FFCDFFCD"/>
        <bgColor indexed="64"/>
      </patternFill>
    </fill>
    <fill>
      <patternFill patternType="solid">
        <fgColor rgb="FFFFFFCC"/>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342">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1" xfId="1" applyFont="1" applyBorder="1" applyAlignment="1">
      <alignment horizontal="left" vertical="center"/>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xf>
    <xf numFmtId="0" fontId="11" fillId="0" borderId="4" xfId="1" applyFont="1" applyBorder="1" applyAlignment="1">
      <alignment horizontal="center" vertical="center" shrinkToFit="1"/>
    </xf>
    <xf numFmtId="0" fontId="11" fillId="0" borderId="4" xfId="1" applyNumberFormat="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6" xfId="1" applyFont="1" applyBorder="1" applyAlignment="1">
      <alignment horizontal="center" vertical="center"/>
    </xf>
    <xf numFmtId="0" fontId="13" fillId="0" borderId="4" xfId="1" applyNumberFormat="1" applyFont="1" applyBorder="1" applyAlignment="1">
      <alignment horizontal="center" vertical="center" wrapText="1" shrinkToFit="1"/>
    </xf>
    <xf numFmtId="0" fontId="11" fillId="0" borderId="5"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4" xfId="1" applyNumberFormat="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5" fillId="0" borderId="7" xfId="1" applyFont="1" applyBorder="1" applyAlignment="1">
      <alignment vertical="top" shrinkToFit="1"/>
    </xf>
    <xf numFmtId="0" fontId="7" fillId="0" borderId="7" xfId="1" applyFont="1" applyBorder="1" applyAlignment="1">
      <alignment vertical="center" shrinkToFit="1"/>
    </xf>
    <xf numFmtId="0" fontId="5" fillId="0" borderId="7" xfId="1" applyNumberFormat="1" applyFont="1" applyBorder="1" applyAlignment="1">
      <alignment horizontal="center" vertical="top" shrinkToFit="1"/>
    </xf>
    <xf numFmtId="0" fontId="14" fillId="0" borderId="7" xfId="1" applyFont="1" applyBorder="1" applyAlignment="1">
      <alignment horizontal="center" vertical="top" shrinkToFit="1"/>
    </xf>
    <xf numFmtId="0" fontId="14" fillId="0" borderId="7" xfId="1" applyFont="1" applyBorder="1" applyAlignment="1">
      <alignment vertical="top" shrinkToFit="1"/>
    </xf>
    <xf numFmtId="0" fontId="16" fillId="0" borderId="7" xfId="1" applyNumberFormat="1" applyFont="1" applyBorder="1" applyAlignment="1">
      <alignment horizontal="center" vertical="top"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15" fillId="0" borderId="12" xfId="1" applyFont="1" applyBorder="1" applyAlignment="1">
      <alignment vertical="top" shrinkToFit="1"/>
    </xf>
    <xf numFmtId="0" fontId="15" fillId="0" borderId="13" xfId="1" applyFont="1" applyBorder="1" applyAlignment="1">
      <alignment vertical="top" shrinkToFit="1"/>
    </xf>
    <xf numFmtId="0" fontId="15" fillId="0" borderId="14" xfId="1" applyFont="1" applyBorder="1" applyAlignment="1">
      <alignment vertical="top" shrinkToFit="1"/>
    </xf>
    <xf numFmtId="0" fontId="14" fillId="0" borderId="15" xfId="1" applyFont="1" applyBorder="1" applyAlignment="1">
      <alignment horizontal="center" vertical="top" shrinkToFit="1"/>
    </xf>
    <xf numFmtId="0" fontId="14" fillId="0" borderId="16" xfId="1" applyFont="1" applyBorder="1" applyAlignment="1">
      <alignment horizontal="center" vertical="top" shrinkToFit="1"/>
    </xf>
    <xf numFmtId="0" fontId="14" fillId="0" borderId="17" xfId="1" applyFont="1" applyBorder="1" applyAlignment="1">
      <alignment horizontal="center" vertical="top" shrinkToFit="1"/>
    </xf>
    <xf numFmtId="0" fontId="14" fillId="0" borderId="18" xfId="1" applyFont="1" applyBorder="1" applyAlignment="1">
      <alignment horizontal="center" vertical="top" shrinkToFit="1"/>
    </xf>
    <xf numFmtId="0" fontId="14" fillId="0" borderId="19" xfId="1" applyFont="1" applyBorder="1" applyAlignment="1">
      <alignment vertical="top" shrinkToFit="1"/>
    </xf>
    <xf numFmtId="0" fontId="14" fillId="0" borderId="20" xfId="1" applyFont="1" applyBorder="1" applyAlignment="1">
      <alignment vertical="top" shrinkToFit="1"/>
    </xf>
    <xf numFmtId="0" fontId="14" fillId="0" borderId="21" xfId="1" applyFont="1" applyBorder="1" applyAlignment="1">
      <alignment vertical="top" shrinkToFit="1"/>
    </xf>
    <xf numFmtId="0" fontId="14" fillId="0" borderId="22" xfId="1" applyFont="1" applyBorder="1" applyAlignment="1">
      <alignment vertical="top" shrinkToFit="1"/>
    </xf>
    <xf numFmtId="0" fontId="16" fillId="0" borderId="23" xfId="1" applyFont="1" applyBorder="1" applyAlignment="1">
      <alignment horizontal="center" vertical="top" shrinkToFit="1"/>
    </xf>
    <xf numFmtId="0" fontId="16" fillId="0" borderId="24" xfId="1" applyFont="1" applyBorder="1" applyAlignment="1">
      <alignment horizontal="center" vertical="top" shrinkToFit="1"/>
    </xf>
    <xf numFmtId="0" fontId="16" fillId="0" borderId="25" xfId="1" applyFont="1" applyBorder="1" applyAlignment="1">
      <alignment horizontal="center" vertical="top" shrinkToFit="1"/>
    </xf>
    <xf numFmtId="0" fontId="16" fillId="0" borderId="26" xfId="1" applyFont="1" applyBorder="1" applyAlignment="1">
      <alignment horizontal="center" vertical="top" shrinkToFit="1"/>
    </xf>
    <xf numFmtId="177" fontId="5" fillId="0" borderId="9"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179" fontId="5" fillId="0" borderId="9" xfId="1" applyNumberFormat="1" applyFont="1" applyBorder="1" applyAlignment="1">
      <alignment horizontal="center" vertical="top" shrinkToFit="1"/>
    </xf>
    <xf numFmtId="178" fontId="5" fillId="0" borderId="9" xfId="1" applyNumberFormat="1" applyFont="1" applyBorder="1" applyAlignment="1">
      <alignment horizontal="center" vertical="top" shrinkToFit="1"/>
    </xf>
    <xf numFmtId="176" fontId="5" fillId="0" borderId="7" xfId="1" applyNumberFormat="1" applyFont="1" applyBorder="1" applyAlignment="1">
      <alignment horizontal="center" vertical="top" shrinkToFit="1"/>
    </xf>
    <xf numFmtId="180" fontId="5" fillId="0" borderId="9" xfId="1" applyNumberFormat="1" applyFont="1" applyBorder="1" applyAlignment="1">
      <alignment horizontal="center" vertical="top" shrinkToFit="1"/>
    </xf>
    <xf numFmtId="0" fontId="4" fillId="0" borderId="13" xfId="1" applyFont="1" applyBorder="1" applyAlignment="1">
      <alignment vertical="top" shrinkToFit="1"/>
    </xf>
    <xf numFmtId="0" fontId="5" fillId="0" borderId="23" xfId="1" applyNumberFormat="1" applyFont="1" applyBorder="1" applyAlignment="1">
      <alignment horizontal="center" vertical="top" shrinkToFit="1"/>
    </xf>
    <xf numFmtId="0" fontId="5" fillId="0" borderId="24" xfId="1" applyNumberFormat="1" applyFont="1" applyBorder="1" applyAlignment="1">
      <alignment horizontal="center" vertical="top" shrinkToFit="1"/>
    </xf>
    <xf numFmtId="0" fontId="5" fillId="0" borderId="25" xfId="1" applyNumberFormat="1" applyFont="1" applyBorder="1" applyAlignment="1">
      <alignment horizontal="center" vertical="top" shrinkToFit="1"/>
    </xf>
    <xf numFmtId="0" fontId="5" fillId="0" borderId="26" xfId="1" applyNumberFormat="1" applyFont="1" applyBorder="1" applyAlignment="1">
      <alignment horizontal="center" vertical="top" shrinkToFit="1"/>
    </xf>
    <xf numFmtId="0" fontId="15" fillId="0" borderId="19" xfId="1" applyFont="1" applyBorder="1" applyAlignment="1">
      <alignment vertical="top" shrinkToFit="1"/>
    </xf>
    <xf numFmtId="0" fontId="15" fillId="0" borderId="21" xfId="1" applyFont="1" applyBorder="1" applyAlignment="1">
      <alignment vertical="top" shrinkToFit="1"/>
    </xf>
    <xf numFmtId="0" fontId="15" fillId="0" borderId="20" xfId="1" applyFont="1" applyBorder="1" applyAlignment="1">
      <alignment vertical="top" shrinkToFit="1"/>
    </xf>
    <xf numFmtId="0" fontId="15" fillId="0" borderId="22" xfId="1" applyFont="1" applyBorder="1" applyAlignment="1">
      <alignment vertical="top" shrinkToFit="1"/>
    </xf>
    <xf numFmtId="0" fontId="2" fillId="0" borderId="0" xfId="1" applyFont="1" applyBorder="1" applyAlignment="1">
      <alignment horizontal="center" vertical="center"/>
    </xf>
    <xf numFmtId="0" fontId="2" fillId="0" borderId="0" xfId="1" applyFont="1" applyBorder="1" applyAlignment="1">
      <alignment vertical="center"/>
    </xf>
    <xf numFmtId="0" fontId="1" fillId="0" borderId="0" xfId="1" applyFont="1" applyBorder="1">
      <alignment vertical="center"/>
    </xf>
    <xf numFmtId="0" fontId="1" fillId="0" borderId="0" xfId="1" applyNumberFormat="1" applyFont="1" applyBorder="1">
      <alignment vertical="center"/>
    </xf>
    <xf numFmtId="0" fontId="2" fillId="0" borderId="30" xfId="1" applyFont="1" applyBorder="1" applyAlignment="1">
      <alignment horizontal="center" vertical="center"/>
    </xf>
    <xf numFmtId="0" fontId="8" fillId="0" borderId="30" xfId="1" applyNumberFormat="1" applyFont="1" applyBorder="1" applyAlignment="1">
      <alignment horizontal="center" shrinkToFit="1"/>
    </xf>
    <xf numFmtId="0" fontId="2" fillId="0" borderId="30" xfId="1" applyFont="1" applyBorder="1" applyAlignment="1">
      <alignment horizontal="center" vertical="center" shrinkToFit="1"/>
    </xf>
    <xf numFmtId="0" fontId="9" fillId="0" borderId="30" xfId="1" applyFont="1" applyBorder="1" applyAlignment="1">
      <alignment horizontal="center" vertical="center" shrinkToFit="1"/>
    </xf>
    <xf numFmtId="0" fontId="6" fillId="0" borderId="30" xfId="1" applyFont="1" applyBorder="1" applyAlignment="1">
      <alignment horizontal="center" vertical="center"/>
    </xf>
    <xf numFmtId="0" fontId="6" fillId="0" borderId="30" xfId="1" applyNumberFormat="1" applyFont="1" applyBorder="1" applyAlignment="1">
      <alignment horizontal="center" vertical="center"/>
    </xf>
    <xf numFmtId="0" fontId="20" fillId="0" borderId="0" xfId="1" applyFont="1">
      <alignment vertical="center"/>
    </xf>
    <xf numFmtId="0" fontId="20" fillId="0" borderId="0" xfId="1" applyFont="1" applyAlignment="1">
      <alignment horizontal="center" vertical="center"/>
    </xf>
    <xf numFmtId="0" fontId="20" fillId="0" borderId="0" xfId="1" applyFont="1" applyFill="1">
      <alignment vertical="center"/>
    </xf>
    <xf numFmtId="0" fontId="20" fillId="0" borderId="0" xfId="1" applyFont="1" applyBorder="1" applyAlignment="1">
      <alignment horizontal="left" vertical="center" shrinkToFit="1"/>
    </xf>
    <xf numFmtId="0" fontId="20" fillId="0" borderId="31" xfId="1" applyFont="1" applyFill="1" applyBorder="1" applyAlignment="1">
      <alignment horizontal="left" vertical="center" shrinkToFit="1"/>
    </xf>
    <xf numFmtId="0" fontId="20" fillId="0" borderId="8" xfId="1" applyFont="1" applyFill="1" applyBorder="1" applyAlignment="1">
      <alignment horizontal="left" vertical="center" shrinkToFit="1"/>
    </xf>
    <xf numFmtId="0" fontId="20" fillId="0" borderId="9" xfId="1" applyFont="1" applyFill="1" applyBorder="1" applyAlignment="1">
      <alignment horizontal="left" vertical="center" shrinkToFit="1"/>
    </xf>
    <xf numFmtId="0" fontId="20" fillId="0" borderId="36" xfId="1" applyFont="1" applyFill="1" applyBorder="1" applyAlignment="1">
      <alignment horizontal="left" vertical="center" shrinkToFit="1"/>
    </xf>
    <xf numFmtId="0" fontId="20" fillId="0" borderId="0" xfId="1" applyFont="1" applyFill="1" applyAlignment="1">
      <alignment horizontal="center" vertical="center"/>
    </xf>
    <xf numFmtId="0" fontId="22" fillId="0" borderId="9" xfId="0" applyFont="1" applyFill="1" applyBorder="1" applyAlignment="1">
      <alignment horizontal="left" vertical="top" wrapText="1" shrinkToFit="1"/>
    </xf>
    <xf numFmtId="0" fontId="23" fillId="0" borderId="9" xfId="1" applyFont="1" applyFill="1" applyBorder="1" applyAlignment="1">
      <alignment horizontal="left" vertical="top" wrapText="1" shrinkToFit="1"/>
    </xf>
    <xf numFmtId="0" fontId="26" fillId="0" borderId="9" xfId="0" applyFont="1" applyFill="1" applyBorder="1" applyAlignment="1">
      <alignment horizontal="left" vertical="top" wrapText="1"/>
    </xf>
    <xf numFmtId="0" fontId="27" fillId="0" borderId="9" xfId="1" applyFont="1" applyFill="1" applyBorder="1" applyAlignment="1">
      <alignment horizontal="left" vertical="top" wrapText="1"/>
    </xf>
    <xf numFmtId="0" fontId="22" fillId="2" borderId="12" xfId="0" applyFont="1" applyFill="1" applyBorder="1" applyAlignment="1">
      <alignment horizontal="left" vertical="top" wrapText="1" shrinkToFit="1"/>
    </xf>
    <xf numFmtId="0" fontId="20" fillId="2" borderId="43" xfId="1" applyFont="1" applyFill="1" applyBorder="1" applyAlignment="1">
      <alignment horizontal="left" vertical="center" shrinkToFit="1"/>
    </xf>
    <xf numFmtId="0" fontId="22" fillId="2" borderId="43" xfId="0" applyFont="1" applyFill="1" applyBorder="1" applyAlignment="1">
      <alignment horizontal="left" vertical="top" wrapText="1" shrinkToFit="1"/>
    </xf>
    <xf numFmtId="0" fontId="20" fillId="2" borderId="43" xfId="1" applyFont="1" applyFill="1" applyBorder="1" applyAlignment="1">
      <alignment horizontal="center" vertical="center"/>
    </xf>
    <xf numFmtId="0" fontId="20" fillId="2" borderId="16" xfId="1" applyFont="1" applyFill="1" applyBorder="1" applyAlignment="1">
      <alignment vertical="center"/>
    </xf>
    <xf numFmtId="0" fontId="22" fillId="2" borderId="44" xfId="0" applyFont="1" applyFill="1" applyBorder="1" applyAlignment="1">
      <alignment horizontal="left" vertical="top" wrapText="1" shrinkToFit="1"/>
    </xf>
    <xf numFmtId="0" fontId="20" fillId="2" borderId="31" xfId="1" applyFont="1" applyFill="1" applyBorder="1" applyAlignment="1">
      <alignment horizontal="left" vertical="center" shrinkToFit="1"/>
    </xf>
    <xf numFmtId="0" fontId="22" fillId="2" borderId="31" xfId="0" applyFont="1" applyFill="1" applyBorder="1" applyAlignment="1">
      <alignment horizontal="left" vertical="top" wrapText="1" shrinkToFit="1"/>
    </xf>
    <xf numFmtId="0" fontId="20" fillId="2" borderId="31" xfId="1" applyFont="1" applyFill="1" applyBorder="1" applyAlignment="1">
      <alignment horizontal="center" vertical="center"/>
    </xf>
    <xf numFmtId="0" fontId="20" fillId="2" borderId="45" xfId="1" applyFont="1" applyFill="1" applyBorder="1" applyAlignment="1">
      <alignment vertical="center"/>
    </xf>
    <xf numFmtId="0" fontId="1" fillId="0" borderId="46" xfId="1" applyBorder="1" applyAlignment="1">
      <alignment horizontal="center" vertical="center"/>
    </xf>
    <xf numFmtId="0" fontId="1" fillId="3" borderId="46" xfId="1" applyFill="1" applyBorder="1" applyAlignment="1">
      <alignment horizontal="center" vertical="center"/>
    </xf>
    <xf numFmtId="0" fontId="1" fillId="0" borderId="9" xfId="1" applyBorder="1" applyAlignment="1">
      <alignment horizontal="center" vertical="center"/>
    </xf>
    <xf numFmtId="0" fontId="1" fillId="0" borderId="47" xfId="1" applyBorder="1" applyAlignment="1">
      <alignment horizontal="center" vertical="center"/>
    </xf>
    <xf numFmtId="0" fontId="1" fillId="0" borderId="9" xfId="1" applyFont="1" applyBorder="1" applyAlignment="1">
      <alignment horizontal="center" vertical="center" shrinkToFit="1"/>
    </xf>
    <xf numFmtId="0" fontId="20" fillId="0" borderId="9" xfId="1" applyFont="1" applyBorder="1" applyAlignment="1">
      <alignment horizontal="center" vertical="center" shrinkToFit="1"/>
    </xf>
    <xf numFmtId="0" fontId="20" fillId="0" borderId="0" xfId="1" applyFont="1" applyAlignment="1">
      <alignment horizontal="center" vertical="center" textRotation="255"/>
    </xf>
    <xf numFmtId="181" fontId="20" fillId="0" borderId="0" xfId="1" applyNumberFormat="1" applyFont="1" applyFill="1">
      <alignment vertical="center"/>
    </xf>
    <xf numFmtId="0" fontId="20" fillId="0" borderId="46" xfId="1" applyFont="1" applyFill="1" applyBorder="1" applyAlignment="1">
      <alignment horizontal="center" vertical="center"/>
    </xf>
    <xf numFmtId="0" fontId="23" fillId="0" borderId="49" xfId="1" applyFont="1" applyFill="1" applyBorder="1" applyAlignment="1">
      <alignment vertical="center" wrapText="1"/>
    </xf>
    <xf numFmtId="0" fontId="23" fillId="0" borderId="13" xfId="1" applyFont="1" applyFill="1" applyBorder="1" applyAlignment="1">
      <alignment horizontal="center" vertical="center" wrapText="1"/>
    </xf>
    <xf numFmtId="0" fontId="20" fillId="0" borderId="9" xfId="3" applyFont="1" applyBorder="1" applyAlignment="1">
      <alignment horizontal="center" wrapText="1" shrinkToFit="1"/>
    </xf>
    <xf numFmtId="0" fontId="35" fillId="0" borderId="36" xfId="1" applyFont="1" applyFill="1" applyBorder="1">
      <alignment vertical="center"/>
    </xf>
    <xf numFmtId="0" fontId="27" fillId="0" borderId="46" xfId="1" applyFont="1" applyFill="1" applyBorder="1" applyAlignment="1">
      <alignment horizontal="left" vertical="top" wrapText="1"/>
    </xf>
    <xf numFmtId="182" fontId="35" fillId="0" borderId="36" xfId="1" applyNumberFormat="1" applyFont="1" applyFill="1" applyBorder="1">
      <alignment vertical="center"/>
    </xf>
    <xf numFmtId="0" fontId="35" fillId="0" borderId="36" xfId="1" applyFont="1" applyFill="1" applyBorder="1" applyAlignment="1">
      <alignment horizontal="left" vertical="center"/>
    </xf>
    <xf numFmtId="0" fontId="35" fillId="0" borderId="36" xfId="3" applyFont="1" applyFill="1" applyBorder="1" applyAlignment="1">
      <alignment vertical="top" wrapText="1"/>
    </xf>
    <xf numFmtId="0" fontId="35" fillId="0" borderId="9" xfId="3" applyFont="1" applyFill="1" applyBorder="1" applyAlignment="1">
      <alignment horizontal="left" vertical="top" wrapText="1"/>
    </xf>
    <xf numFmtId="0" fontId="35" fillId="8" borderId="9" xfId="1" applyFont="1" applyFill="1" applyBorder="1">
      <alignment vertical="center"/>
    </xf>
    <xf numFmtId="181" fontId="35" fillId="0" borderId="9" xfId="1" applyNumberFormat="1" applyFont="1" applyFill="1" applyBorder="1">
      <alignment vertical="center"/>
    </xf>
    <xf numFmtId="0" fontId="35" fillId="0" borderId="9" xfId="1" applyFont="1" applyFill="1" applyBorder="1">
      <alignment vertical="center"/>
    </xf>
    <xf numFmtId="0" fontId="27" fillId="0" borderId="9" xfId="3" applyFont="1" applyFill="1" applyBorder="1" applyAlignment="1">
      <alignment vertical="top" wrapText="1"/>
    </xf>
    <xf numFmtId="0" fontId="35" fillId="0" borderId="9" xfId="3" applyFont="1" applyFill="1" applyBorder="1" applyAlignment="1">
      <alignment vertical="top" wrapText="1"/>
    </xf>
    <xf numFmtId="0" fontId="35" fillId="0" borderId="8" xfId="1" applyFont="1" applyFill="1" applyBorder="1">
      <alignment vertical="center"/>
    </xf>
    <xf numFmtId="181" fontId="35" fillId="0" borderId="8" xfId="1" applyNumberFormat="1" applyFont="1" applyFill="1" applyBorder="1">
      <alignment vertical="center"/>
    </xf>
    <xf numFmtId="0" fontId="35" fillId="0" borderId="8" xfId="3" applyFont="1" applyFill="1" applyBorder="1" applyAlignment="1">
      <alignment vertical="top" wrapText="1"/>
    </xf>
    <xf numFmtId="0" fontId="35" fillId="0" borderId="8" xfId="1" applyFont="1" applyFill="1" applyBorder="1" applyAlignment="1">
      <alignment horizontal="left" vertical="top" shrinkToFit="1"/>
    </xf>
    <xf numFmtId="0" fontId="35" fillId="9" borderId="9" xfId="1" applyFont="1" applyFill="1" applyBorder="1">
      <alignment vertical="center"/>
    </xf>
    <xf numFmtId="0" fontId="23" fillId="0" borderId="9" xfId="3" applyFont="1" applyFill="1" applyBorder="1" applyAlignment="1">
      <alignment vertical="top" wrapText="1"/>
    </xf>
    <xf numFmtId="0" fontId="35" fillId="2" borderId="45" xfId="1" applyFont="1" applyFill="1" applyBorder="1" applyAlignment="1">
      <alignment horizontal="center" vertical="center"/>
    </xf>
    <xf numFmtId="0" fontId="35" fillId="2" borderId="31" xfId="1" applyFont="1" applyFill="1" applyBorder="1" applyAlignment="1">
      <alignment horizontal="center" vertical="center"/>
    </xf>
    <xf numFmtId="0" fontId="35" fillId="2" borderId="31" xfId="1" applyFont="1" applyFill="1" applyBorder="1">
      <alignment vertical="center"/>
    </xf>
    <xf numFmtId="0" fontId="27" fillId="2" borderId="31" xfId="1" applyFont="1" applyFill="1" applyBorder="1" applyAlignment="1">
      <alignment horizontal="left" vertical="top" wrapText="1"/>
    </xf>
    <xf numFmtId="181" fontId="35" fillId="2" borderId="31" xfId="1" applyNumberFormat="1" applyFont="1" applyFill="1" applyBorder="1">
      <alignment vertical="center"/>
    </xf>
    <xf numFmtId="0" fontId="35" fillId="2" borderId="31" xfId="3" applyFont="1" applyFill="1" applyBorder="1" applyAlignment="1">
      <alignment horizontal="left" vertical="top" wrapText="1"/>
    </xf>
    <xf numFmtId="0" fontId="35" fillId="2" borderId="44" xfId="3" applyFont="1" applyFill="1" applyBorder="1" applyAlignment="1">
      <alignment horizontal="left" vertical="top" wrapText="1"/>
    </xf>
    <xf numFmtId="0" fontId="35" fillId="2" borderId="16" xfId="1" applyFont="1" applyFill="1" applyBorder="1" applyAlignment="1">
      <alignment horizontal="center" vertical="center"/>
    </xf>
    <xf numFmtId="0" fontId="35" fillId="2" borderId="43" xfId="1" applyFont="1" applyFill="1" applyBorder="1" applyAlignment="1">
      <alignment horizontal="center" vertical="center"/>
    </xf>
    <xf numFmtId="0" fontId="35" fillId="2" borderId="43" xfId="1" applyFont="1" applyFill="1" applyBorder="1">
      <alignment vertical="center"/>
    </xf>
    <xf numFmtId="0" fontId="27" fillId="2" borderId="43" xfId="1" applyFont="1" applyFill="1" applyBorder="1" applyAlignment="1">
      <alignment horizontal="left" vertical="top" wrapText="1"/>
    </xf>
    <xf numFmtId="181" fontId="35" fillId="2" borderId="43" xfId="1" applyNumberFormat="1" applyFont="1" applyFill="1" applyBorder="1">
      <alignment vertical="center"/>
    </xf>
    <xf numFmtId="0" fontId="35" fillId="2" borderId="43" xfId="3" applyFont="1" applyFill="1" applyBorder="1" applyAlignment="1">
      <alignment horizontal="left" vertical="top" wrapText="1"/>
    </xf>
    <xf numFmtId="0" fontId="35" fillId="2" borderId="12" xfId="3" applyFont="1" applyFill="1" applyBorder="1" applyAlignment="1">
      <alignment horizontal="left" vertical="top" wrapText="1"/>
    </xf>
    <xf numFmtId="0" fontId="35" fillId="11" borderId="36" xfId="1" applyFont="1" applyFill="1" applyBorder="1">
      <alignment vertical="center"/>
    </xf>
    <xf numFmtId="0" fontId="35" fillId="0" borderId="9" xfId="3" applyFont="1" applyFill="1" applyBorder="1" applyAlignment="1">
      <alignment horizontal="center" vertical="top" wrapText="1"/>
    </xf>
    <xf numFmtId="0" fontId="35" fillId="12" borderId="9" xfId="1" applyFont="1" applyFill="1" applyBorder="1">
      <alignment vertical="center"/>
    </xf>
    <xf numFmtId="0" fontId="8" fillId="0" borderId="46" xfId="1" applyFont="1" applyFill="1" applyBorder="1" applyAlignment="1">
      <alignment horizontal="left" vertical="top" wrapText="1"/>
    </xf>
    <xf numFmtId="0" fontId="25" fillId="0" borderId="9" xfId="3" applyFont="1" applyFill="1" applyBorder="1" applyAlignment="1">
      <alignment vertical="top" wrapText="1"/>
    </xf>
    <xf numFmtId="0" fontId="35" fillId="9" borderId="36" xfId="1" applyFont="1" applyFill="1" applyBorder="1" applyAlignment="1">
      <alignment horizontal="left" vertical="center"/>
    </xf>
    <xf numFmtId="182" fontId="35" fillId="0" borderId="36" xfId="1" applyNumberFormat="1" applyFont="1" applyFill="1" applyBorder="1" applyAlignment="1">
      <alignment horizontal="right" vertical="center"/>
    </xf>
    <xf numFmtId="0" fontId="35" fillId="0" borderId="9" xfId="1" applyFont="1" applyFill="1" applyBorder="1" applyAlignment="1">
      <alignment vertical="center"/>
    </xf>
    <xf numFmtId="0" fontId="35" fillId="0" borderId="8" xfId="1" applyFont="1" applyFill="1" applyBorder="1" applyAlignment="1">
      <alignment vertical="center"/>
    </xf>
    <xf numFmtId="0" fontId="35" fillId="0" borderId="13" xfId="3" applyFont="1" applyFill="1" applyBorder="1" applyAlignment="1">
      <alignment horizontal="left" vertical="top" wrapText="1"/>
    </xf>
    <xf numFmtId="0" fontId="35" fillId="0" borderId="8" xfId="1" applyFont="1" applyFill="1" applyBorder="1" applyAlignment="1">
      <alignment horizontal="center" vertical="center" shrinkToFit="1"/>
    </xf>
    <xf numFmtId="0" fontId="20" fillId="0" borderId="45" xfId="1" applyFont="1" applyFill="1" applyBorder="1">
      <alignment vertical="center"/>
    </xf>
    <xf numFmtId="0" fontId="35" fillId="0" borderId="46" xfId="1" applyFont="1" applyFill="1" applyBorder="1" applyAlignment="1">
      <alignment horizontal="center" vertical="center" shrinkToFit="1"/>
    </xf>
    <xf numFmtId="0" fontId="35" fillId="0" borderId="46" xfId="1" applyFont="1" applyFill="1" applyBorder="1" applyAlignment="1">
      <alignment horizontal="center" vertical="center"/>
    </xf>
    <xf numFmtId="0" fontId="35" fillId="0" borderId="46" xfId="1" applyFont="1" applyFill="1" applyBorder="1" applyAlignment="1">
      <alignment vertical="center"/>
    </xf>
    <xf numFmtId="0" fontId="20" fillId="0" borderId="17" xfId="1" applyFont="1" applyFill="1" applyBorder="1">
      <alignment vertical="center"/>
    </xf>
    <xf numFmtId="0" fontId="35" fillId="0" borderId="47" xfId="1" applyFont="1" applyFill="1" applyBorder="1" applyAlignment="1">
      <alignment horizontal="center" vertical="center"/>
    </xf>
    <xf numFmtId="0" fontId="35" fillId="0" borderId="49" xfId="1" applyFont="1" applyFill="1" applyBorder="1">
      <alignment vertical="center"/>
    </xf>
    <xf numFmtId="182" fontId="35" fillId="0" borderId="46" xfId="1" applyNumberFormat="1" applyFont="1" applyFill="1" applyBorder="1" applyAlignment="1">
      <alignment horizontal="center" vertical="center"/>
    </xf>
    <xf numFmtId="181" fontId="35" fillId="0" borderId="46" xfId="1" applyNumberFormat="1" applyFont="1" applyFill="1" applyBorder="1" applyAlignment="1">
      <alignment horizontal="center" vertical="center"/>
    </xf>
    <xf numFmtId="181" fontId="35" fillId="0" borderId="46" xfId="1" applyNumberFormat="1" applyFont="1" applyFill="1" applyBorder="1" applyAlignment="1">
      <alignment vertical="center"/>
    </xf>
    <xf numFmtId="181" fontId="20" fillId="0" borderId="46" xfId="1" applyNumberFormat="1" applyFont="1" applyFill="1" applyBorder="1" applyAlignment="1">
      <alignment horizontal="center" vertical="center"/>
    </xf>
    <xf numFmtId="0" fontId="27" fillId="0" borderId="36" xfId="1" applyFont="1" applyFill="1" applyBorder="1" applyAlignment="1">
      <alignment horizontal="left" vertical="top" wrapText="1"/>
    </xf>
    <xf numFmtId="0" fontId="35" fillId="0" borderId="0" xfId="3" applyFont="1" applyFill="1" applyBorder="1" applyAlignment="1">
      <alignment horizontal="left" vertical="top" wrapText="1"/>
    </xf>
    <xf numFmtId="0" fontId="35" fillId="0" borderId="0" xfId="1" applyFont="1" applyFill="1" applyBorder="1" applyAlignment="1">
      <alignment vertical="center" wrapText="1"/>
    </xf>
    <xf numFmtId="0" fontId="0" fillId="0" borderId="31" xfId="0" applyBorder="1" applyAlignment="1">
      <alignment vertical="center" shrinkToFit="1"/>
    </xf>
    <xf numFmtId="0" fontId="20" fillId="0" borderId="31" xfId="1" applyFont="1" applyFill="1" applyBorder="1" applyAlignment="1">
      <alignment horizontal="center" vertical="center"/>
    </xf>
    <xf numFmtId="0" fontId="20" fillId="0" borderId="31" xfId="1" applyFont="1" applyFill="1" applyBorder="1">
      <alignment vertical="center"/>
    </xf>
    <xf numFmtId="0" fontId="36" fillId="0" borderId="31" xfId="1" applyFont="1" applyFill="1" applyBorder="1" applyAlignment="1">
      <alignment horizontal="left" vertical="center"/>
    </xf>
    <xf numFmtId="182" fontId="20" fillId="0" borderId="31" xfId="1" applyNumberFormat="1" applyFont="1" applyFill="1" applyBorder="1" applyAlignment="1">
      <alignment horizontal="center" vertical="center"/>
    </xf>
    <xf numFmtId="181" fontId="20" fillId="0" borderId="31" xfId="1" applyNumberFormat="1" applyFont="1" applyFill="1" applyBorder="1" applyAlignment="1">
      <alignment horizontal="center" vertical="center"/>
    </xf>
    <xf numFmtId="181" fontId="20" fillId="0" borderId="0" xfId="1" applyNumberFormat="1" applyFont="1" applyFill="1" applyBorder="1">
      <alignment vertical="center"/>
    </xf>
    <xf numFmtId="0" fontId="20" fillId="0" borderId="0" xfId="1" applyFont="1" applyFill="1" applyBorder="1">
      <alignment vertical="center"/>
    </xf>
    <xf numFmtId="181" fontId="20" fillId="0" borderId="0" xfId="1" applyNumberFormat="1" applyFont="1" applyFill="1" applyBorder="1" applyAlignment="1">
      <alignment horizontal="center" vertical="center"/>
    </xf>
    <xf numFmtId="0" fontId="27" fillId="0" borderId="0" xfId="3" applyFont="1" applyFill="1" applyBorder="1" applyAlignment="1">
      <alignment vertical="center"/>
    </xf>
    <xf numFmtId="0" fontId="27" fillId="0" borderId="0" xfId="1" applyFont="1" applyFill="1" applyBorder="1" applyAlignment="1">
      <alignment vertical="center"/>
    </xf>
    <xf numFmtId="0" fontId="35" fillId="0" borderId="0" xfId="1" applyFont="1" applyFill="1" applyBorder="1">
      <alignment vertical="center"/>
    </xf>
    <xf numFmtId="0" fontId="27" fillId="0" borderId="0" xfId="1" applyFont="1" applyBorder="1" applyAlignment="1">
      <alignment vertical="top" wrapText="1"/>
    </xf>
    <xf numFmtId="0" fontId="27" fillId="0" borderId="0" xfId="1" applyFont="1" applyBorder="1" applyAlignment="1">
      <alignment horizontal="left" vertical="top" wrapText="1"/>
    </xf>
    <xf numFmtId="181" fontId="35" fillId="0" borderId="0" xfId="1" applyNumberFormat="1" applyFont="1" applyFill="1" applyBorder="1">
      <alignment vertical="center"/>
    </xf>
    <xf numFmtId="0" fontId="35" fillId="0" borderId="0" xfId="3" applyFont="1" applyFill="1" applyBorder="1" applyAlignment="1">
      <alignment vertical="top" wrapText="1"/>
    </xf>
    <xf numFmtId="0" fontId="27" fillId="0" borderId="0" xfId="1" applyFont="1" applyFill="1" applyBorder="1" applyAlignment="1">
      <alignment horizontal="left" vertical="center"/>
    </xf>
    <xf numFmtId="0" fontId="27" fillId="0" borderId="0" xfId="1" applyFont="1" applyFill="1">
      <alignment vertical="center"/>
    </xf>
    <xf numFmtId="0" fontId="37" fillId="0" borderId="0"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27" fillId="0" borderId="0"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left" vertical="top"/>
    </xf>
    <xf numFmtId="0" fontId="20" fillId="0" borderId="0" xfId="1" applyFont="1" applyFill="1" applyAlignment="1">
      <alignment horizontal="left" vertical="center"/>
    </xf>
    <xf numFmtId="0" fontId="35" fillId="0" borderId="0" xfId="1" applyFont="1" applyFill="1" applyBorder="1" applyAlignment="1">
      <alignment horizontal="center" vertical="center"/>
    </xf>
    <xf numFmtId="0" fontId="20" fillId="0" borderId="0" xfId="1" applyFont="1" applyFill="1" applyBorder="1" applyAlignment="1">
      <alignment horizontal="left" vertical="center"/>
    </xf>
    <xf numFmtId="0" fontId="35" fillId="0" borderId="36" xfId="3" applyFont="1" applyFill="1" applyBorder="1" applyAlignment="1">
      <alignment horizontal="left" vertical="top" wrapText="1"/>
    </xf>
    <xf numFmtId="0" fontId="35" fillId="0" borderId="9" xfId="3" applyFont="1" applyFill="1" applyBorder="1" applyAlignment="1">
      <alignment horizontal="left" vertical="top" wrapText="1"/>
    </xf>
    <xf numFmtId="0" fontId="35" fillId="0" borderId="8" xfId="3" applyFont="1" applyFill="1" applyBorder="1" applyAlignment="1">
      <alignment horizontal="left" vertical="top" wrapText="1"/>
    </xf>
    <xf numFmtId="0" fontId="35" fillId="0" borderId="8" xfId="1" applyFont="1" applyFill="1" applyBorder="1" applyAlignment="1">
      <alignment horizontal="center" vertical="center"/>
    </xf>
    <xf numFmtId="0" fontId="35" fillId="0" borderId="46" xfId="1" applyFont="1" applyFill="1" applyBorder="1" applyAlignment="1">
      <alignment horizontal="center" vertical="center"/>
    </xf>
    <xf numFmtId="0" fontId="35" fillId="0" borderId="16" xfId="1" applyFont="1" applyFill="1" applyBorder="1" applyAlignment="1">
      <alignment horizontal="center" vertical="center"/>
    </xf>
    <xf numFmtId="0" fontId="35" fillId="0" borderId="43" xfId="1" applyFont="1" applyFill="1" applyBorder="1" applyAlignment="1">
      <alignment horizontal="center" vertical="center"/>
    </xf>
    <xf numFmtId="0" fontId="35" fillId="0" borderId="12"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49" xfId="1" applyFont="1" applyFill="1" applyBorder="1" applyAlignment="1">
      <alignment horizontal="center" vertical="center"/>
    </xf>
    <xf numFmtId="181" fontId="35" fillId="0" borderId="47" xfId="1" applyNumberFormat="1" applyFont="1" applyFill="1" applyBorder="1" applyAlignment="1">
      <alignment horizontal="center" vertical="center"/>
    </xf>
    <xf numFmtId="181" fontId="35" fillId="0" borderId="49" xfId="1" applyNumberFormat="1" applyFont="1" applyFill="1" applyBorder="1" applyAlignment="1">
      <alignment horizontal="center" vertical="center"/>
    </xf>
    <xf numFmtId="0" fontId="27" fillId="0" borderId="31" xfId="1" applyFont="1" applyFill="1" applyBorder="1" applyAlignment="1">
      <alignment horizontal="left" vertical="center" shrinkToFit="1"/>
    </xf>
    <xf numFmtId="0" fontId="35" fillId="0" borderId="46" xfId="1" applyFont="1" applyFill="1" applyBorder="1" applyAlignment="1">
      <alignment horizontal="center" vertical="center" wrapText="1"/>
    </xf>
    <xf numFmtId="0" fontId="35" fillId="0" borderId="36" xfId="1" applyFont="1" applyFill="1" applyBorder="1" applyAlignment="1">
      <alignment horizontal="center" vertical="center" wrapText="1"/>
    </xf>
    <xf numFmtId="0" fontId="35" fillId="0" borderId="36" xfId="1" applyFont="1" applyFill="1" applyBorder="1" applyAlignment="1">
      <alignment horizontal="center" vertical="center"/>
    </xf>
    <xf numFmtId="0" fontId="27" fillId="0" borderId="46" xfId="1" applyFont="1" applyFill="1" applyBorder="1" applyAlignment="1">
      <alignment horizontal="left" vertical="top" wrapText="1"/>
    </xf>
    <xf numFmtId="0" fontId="8" fillId="0" borderId="46" xfId="1" applyFont="1" applyFill="1" applyBorder="1" applyAlignment="1">
      <alignment horizontal="left" vertical="top" wrapText="1"/>
    </xf>
    <xf numFmtId="0" fontId="8" fillId="0" borderId="36" xfId="1" applyFont="1" applyFill="1" applyBorder="1" applyAlignment="1">
      <alignment horizontal="left" vertical="top" wrapText="1"/>
    </xf>
    <xf numFmtId="0" fontId="27" fillId="0" borderId="36" xfId="1" applyFont="1" applyFill="1" applyBorder="1" applyAlignment="1">
      <alignment horizontal="left" vertical="top" wrapText="1"/>
    </xf>
    <xf numFmtId="0" fontId="35" fillId="0" borderId="46" xfId="1" applyFont="1" applyFill="1" applyBorder="1" applyAlignment="1">
      <alignment vertical="center"/>
    </xf>
    <xf numFmtId="0" fontId="35" fillId="0" borderId="46" xfId="1" applyFont="1" applyFill="1" applyBorder="1" applyAlignment="1">
      <alignment horizontal="center" vertical="center" textRotation="255"/>
    </xf>
    <xf numFmtId="0" fontId="35" fillId="0" borderId="46" xfId="1" applyFont="1" applyFill="1" applyBorder="1" applyAlignment="1">
      <alignment horizontal="center" vertical="center" textRotation="255" shrinkToFit="1"/>
    </xf>
    <xf numFmtId="0" fontId="35" fillId="0" borderId="46" xfId="1" applyFont="1" applyFill="1" applyBorder="1" applyAlignment="1">
      <alignment vertical="center" textRotation="255"/>
    </xf>
    <xf numFmtId="0" fontId="35" fillId="10" borderId="46" xfId="1" applyFont="1" applyFill="1" applyBorder="1" applyAlignment="1">
      <alignment horizontal="center" vertical="center" textRotation="255" shrinkToFit="1"/>
    </xf>
    <xf numFmtId="0" fontId="35" fillId="10" borderId="46" xfId="1" applyFont="1" applyFill="1" applyBorder="1" applyAlignment="1">
      <alignment horizontal="center" vertical="center" wrapText="1"/>
    </xf>
    <xf numFmtId="0" fontId="35" fillId="10" borderId="46" xfId="1" applyFont="1" applyFill="1" applyBorder="1" applyAlignment="1">
      <alignment vertical="center"/>
    </xf>
    <xf numFmtId="0" fontId="20" fillId="0" borderId="9" xfId="3" applyFont="1" applyBorder="1" applyAlignment="1">
      <alignment horizontal="center" wrapText="1" shrinkToFit="1"/>
    </xf>
    <xf numFmtId="0" fontId="20" fillId="0" borderId="8" xfId="3" applyFont="1" applyBorder="1" applyAlignment="1">
      <alignment horizontal="center" wrapText="1" shrinkToFit="1"/>
    </xf>
    <xf numFmtId="0" fontId="20" fillId="0" borderId="9" xfId="3" applyFont="1" applyBorder="1" applyAlignment="1">
      <alignment horizontal="center" vertical="center" wrapText="1" shrinkToFit="1"/>
    </xf>
    <xf numFmtId="0" fontId="20" fillId="0" borderId="8" xfId="3" applyFont="1" applyBorder="1" applyAlignment="1">
      <alignment horizontal="center" vertical="center" wrapText="1" shrinkToFit="1"/>
    </xf>
    <xf numFmtId="0" fontId="35" fillId="0" borderId="46" xfId="1" applyFont="1" applyFill="1" applyBorder="1" applyAlignment="1">
      <alignment vertical="center" wrapText="1"/>
    </xf>
    <xf numFmtId="0" fontId="32" fillId="0" borderId="17" xfId="1" applyFont="1" applyFill="1" applyBorder="1" applyAlignment="1">
      <alignment horizontal="center" vertical="center" wrapText="1"/>
    </xf>
    <xf numFmtId="0" fontId="32" fillId="0" borderId="13" xfId="1" applyFont="1" applyFill="1" applyBorder="1" applyAlignment="1">
      <alignment horizontal="center" vertical="center" wrapText="1"/>
    </xf>
    <xf numFmtId="0" fontId="32" fillId="0" borderId="16"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20" fillId="5" borderId="46" xfId="1" applyFont="1" applyFill="1" applyBorder="1" applyAlignment="1">
      <alignment horizontal="center" wrapText="1" shrinkToFit="1"/>
    </xf>
    <xf numFmtId="0" fontId="20" fillId="6" borderId="46" xfId="1" applyFont="1" applyFill="1" applyBorder="1" applyAlignment="1">
      <alignment horizontal="center" wrapText="1" shrinkToFit="1"/>
    </xf>
    <xf numFmtId="0" fontId="29" fillId="4" borderId="46" xfId="1" applyFont="1" applyFill="1" applyBorder="1" applyAlignment="1">
      <alignment horizontal="center" vertical="center" textRotation="255" shrinkToFit="1"/>
    </xf>
    <xf numFmtId="0" fontId="30" fillId="0" borderId="46" xfId="1" applyFont="1" applyFill="1" applyBorder="1" applyAlignment="1">
      <alignment horizontal="center" vertical="center" textRotation="255"/>
    </xf>
    <xf numFmtId="0" fontId="20" fillId="0" borderId="46" xfId="1" applyFont="1" applyFill="1" applyBorder="1" applyAlignment="1">
      <alignment horizontal="right" vertical="center"/>
    </xf>
    <xf numFmtId="0" fontId="20" fillId="0" borderId="46" xfId="1" applyFont="1" applyFill="1" applyBorder="1" applyAlignment="1">
      <alignment horizontal="center" vertical="center"/>
    </xf>
    <xf numFmtId="0" fontId="23" fillId="0" borderId="47" xfId="1" applyFont="1" applyFill="1" applyBorder="1" applyAlignment="1">
      <alignment horizontal="center" vertical="center" wrapText="1"/>
    </xf>
    <xf numFmtId="0" fontId="23" fillId="0" borderId="48" xfId="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0" fillId="7" borderId="46" xfId="1" applyFont="1" applyFill="1" applyBorder="1" applyAlignment="1">
      <alignment horizontal="center" wrapText="1" shrinkToFit="1"/>
    </xf>
    <xf numFmtId="0" fontId="1" fillId="0" borderId="46" xfId="1" applyBorder="1" applyAlignment="1">
      <alignment horizontal="center" wrapText="1" shrinkToFit="1"/>
    </xf>
    <xf numFmtId="0" fontId="31" fillId="0" borderId="46" xfId="1" applyFont="1" applyFill="1" applyBorder="1" applyAlignment="1">
      <alignment horizontal="left" vertical="center"/>
    </xf>
    <xf numFmtId="0" fontId="28" fillId="4" borderId="46" xfId="1" applyFont="1" applyFill="1" applyBorder="1" applyAlignment="1">
      <alignment horizontal="center" vertical="center" textRotation="255" shrinkToFit="1"/>
    </xf>
    <xf numFmtId="0" fontId="25" fillId="0" borderId="36" xfId="1" applyFont="1" applyFill="1" applyBorder="1" applyAlignment="1">
      <alignment horizontal="left" vertical="top" wrapText="1" shrinkToFit="1"/>
    </xf>
    <xf numFmtId="0" fontId="24" fillId="0" borderId="9" xfId="0" applyFont="1" applyFill="1" applyBorder="1" applyAlignment="1">
      <alignment horizontal="left" vertical="top" wrapText="1" shrinkToFit="1"/>
    </xf>
    <xf numFmtId="0" fontId="24" fillId="0" borderId="8" xfId="0" applyFont="1" applyFill="1" applyBorder="1" applyAlignment="1">
      <alignment horizontal="left" vertical="top" wrapText="1" shrinkToFit="1"/>
    </xf>
    <xf numFmtId="0" fontId="20" fillId="0" borderId="46" xfId="1" applyFont="1" applyBorder="1" applyAlignment="1">
      <alignment horizontal="center" vertical="center" textRotation="255"/>
    </xf>
    <xf numFmtId="0" fontId="20" fillId="0" borderId="45" xfId="1" applyFont="1" applyBorder="1" applyAlignment="1">
      <alignment horizontal="center" vertical="center" shrinkToFit="1"/>
    </xf>
    <xf numFmtId="0" fontId="20" fillId="0" borderId="31"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16" xfId="1" applyFont="1" applyBorder="1" applyAlignment="1">
      <alignment horizontal="center" vertical="center" shrinkToFit="1"/>
    </xf>
    <xf numFmtId="0" fontId="20" fillId="0" borderId="43" xfId="1" applyFont="1" applyBorder="1" applyAlignment="1">
      <alignment horizontal="center" vertical="center" shrinkToFit="1"/>
    </xf>
    <xf numFmtId="0" fontId="20" fillId="3" borderId="45" xfId="1" applyFont="1" applyFill="1" applyBorder="1" applyAlignment="1">
      <alignment horizontal="center" vertical="center" shrinkToFit="1"/>
    </xf>
    <xf numFmtId="0" fontId="20" fillId="3" borderId="44" xfId="1" applyFont="1" applyFill="1" applyBorder="1" applyAlignment="1">
      <alignment horizontal="center" vertical="center" shrinkToFit="1"/>
    </xf>
    <xf numFmtId="0" fontId="20" fillId="3" borderId="17" xfId="1" applyFont="1" applyFill="1" applyBorder="1" applyAlignment="1">
      <alignment horizontal="center" vertical="center" shrinkToFit="1"/>
    </xf>
    <xf numFmtId="0" fontId="20" fillId="3" borderId="13" xfId="1" applyFont="1" applyFill="1" applyBorder="1" applyAlignment="1">
      <alignment horizontal="center" vertical="center" shrinkToFit="1"/>
    </xf>
    <xf numFmtId="0" fontId="20" fillId="3" borderId="16" xfId="1" applyFont="1" applyFill="1" applyBorder="1" applyAlignment="1">
      <alignment horizontal="center" vertical="center" shrinkToFit="1"/>
    </xf>
    <xf numFmtId="0" fontId="20" fillId="3" borderId="12" xfId="1" applyFont="1" applyFill="1" applyBorder="1" applyAlignment="1">
      <alignment horizontal="center" vertical="center" shrinkToFit="1"/>
    </xf>
    <xf numFmtId="0" fontId="20" fillId="0" borderId="45" xfId="1" applyFont="1" applyBorder="1" applyAlignment="1">
      <alignment horizontal="center" vertical="center"/>
    </xf>
    <xf numFmtId="0" fontId="20" fillId="0" borderId="31" xfId="1" applyFont="1" applyBorder="1" applyAlignment="1">
      <alignment horizontal="center" vertical="center"/>
    </xf>
    <xf numFmtId="0" fontId="1" fillId="0" borderId="17" xfId="1" applyFont="1" applyBorder="1" applyAlignment="1">
      <alignment horizontal="center" vertical="center"/>
    </xf>
    <xf numFmtId="0" fontId="1" fillId="0" borderId="0" xfId="1" applyFont="1" applyBorder="1" applyAlignment="1">
      <alignment horizontal="center" vertical="center"/>
    </xf>
    <xf numFmtId="0" fontId="1" fillId="0" borderId="16" xfId="1" applyFont="1" applyBorder="1" applyAlignment="1">
      <alignment horizontal="center" vertical="center"/>
    </xf>
    <xf numFmtId="0" fontId="1" fillId="0" borderId="43" xfId="1" applyFont="1" applyBorder="1" applyAlignment="1">
      <alignment horizontal="center" vertical="center"/>
    </xf>
    <xf numFmtId="0" fontId="1" fillId="0" borderId="17"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43" xfId="1" applyFont="1" applyBorder="1" applyAlignment="1">
      <alignment horizontal="center" vertical="center" shrinkToFit="1"/>
    </xf>
    <xf numFmtId="0" fontId="20" fillId="0" borderId="39" xfId="1" applyFont="1" applyFill="1" applyBorder="1" applyAlignment="1">
      <alignment horizontal="center" vertical="center"/>
    </xf>
    <xf numFmtId="0" fontId="20" fillId="0" borderId="34" xfId="1" applyFont="1" applyFill="1" applyBorder="1" applyAlignment="1">
      <alignment horizontal="center" vertical="center"/>
    </xf>
    <xf numFmtId="0" fontId="20" fillId="0" borderId="32" xfId="1" applyFont="1" applyFill="1" applyBorder="1" applyAlignment="1">
      <alignment horizontal="center" vertical="center"/>
    </xf>
    <xf numFmtId="0" fontId="23" fillId="0" borderId="36" xfId="1" applyFont="1" applyFill="1" applyBorder="1" applyAlignment="1">
      <alignment horizontal="left" vertical="top" wrapText="1" shrinkToFit="1"/>
    </xf>
    <xf numFmtId="0" fontId="22" fillId="0" borderId="9" xfId="0" applyFont="1" applyFill="1" applyBorder="1" applyAlignment="1">
      <alignment horizontal="left" vertical="top" wrapText="1" shrinkToFit="1"/>
    </xf>
    <xf numFmtId="0" fontId="22" fillId="0" borderId="8" xfId="0" applyFont="1" applyFill="1" applyBorder="1" applyAlignment="1">
      <alignment horizontal="left" vertical="top" wrapText="1" shrinkToFit="1"/>
    </xf>
    <xf numFmtId="0" fontId="20" fillId="0" borderId="36"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8" xfId="1" applyFont="1" applyFill="1" applyBorder="1" applyAlignment="1">
      <alignment horizontal="center" vertical="center"/>
    </xf>
    <xf numFmtId="0" fontId="25" fillId="0" borderId="36" xfId="1"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8" xfId="0" applyFont="1" applyFill="1" applyBorder="1" applyAlignment="1">
      <alignment horizontal="left" vertical="top" wrapText="1"/>
    </xf>
    <xf numFmtId="0" fontId="27" fillId="0" borderId="45" xfId="1"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6" xfId="0" applyFont="1" applyFill="1" applyBorder="1" applyAlignment="1">
      <alignment horizontal="left" vertical="top" wrapText="1"/>
    </xf>
    <xf numFmtId="0" fontId="20" fillId="0" borderId="38" xfId="1" applyFont="1" applyFill="1" applyBorder="1" applyAlignment="1">
      <alignment horizontal="center" vertical="center"/>
    </xf>
    <xf numFmtId="0" fontId="20" fillId="0" borderId="35" xfId="1" applyFont="1" applyFill="1" applyBorder="1" applyAlignment="1">
      <alignment vertical="center"/>
    </xf>
    <xf numFmtId="0" fontId="20" fillId="0" borderId="42" xfId="1" applyFont="1" applyFill="1" applyBorder="1" applyAlignment="1">
      <alignment vertical="center"/>
    </xf>
    <xf numFmtId="0" fontId="20" fillId="0" borderId="33" xfId="1" applyFont="1" applyFill="1" applyBorder="1" applyAlignment="1">
      <alignment vertical="center"/>
    </xf>
    <xf numFmtId="0" fontId="20" fillId="0" borderId="37" xfId="1" applyFont="1" applyFill="1" applyBorder="1" applyAlignment="1">
      <alignment horizontal="center" vertical="center"/>
    </xf>
    <xf numFmtId="0" fontId="20" fillId="0" borderId="41" xfId="1" applyFont="1" applyFill="1" applyBorder="1" applyAlignment="1">
      <alignment horizontal="center" vertical="center"/>
    </xf>
    <xf numFmtId="0" fontId="23" fillId="0" borderId="36" xfId="1"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8" xfId="0" applyFont="1" applyFill="1" applyBorder="1" applyAlignment="1">
      <alignment horizontal="left" vertical="top" wrapText="1"/>
    </xf>
    <xf numFmtId="0" fontId="20" fillId="0" borderId="40" xfId="1" applyFont="1" applyFill="1" applyBorder="1" applyAlignment="1">
      <alignment horizontal="center" vertical="center"/>
    </xf>
    <xf numFmtId="0" fontId="23" fillId="0" borderId="9" xfId="1" applyFont="1" applyFill="1" applyBorder="1" applyAlignment="1">
      <alignment horizontal="left" vertical="top" wrapText="1" shrinkToFit="1"/>
    </xf>
    <xf numFmtId="0" fontId="25" fillId="0" borderId="9" xfId="1" applyFont="1" applyFill="1" applyBorder="1" applyAlignment="1">
      <alignment horizontal="left" vertical="top" wrapText="1" shrinkToFit="1"/>
    </xf>
    <xf numFmtId="0" fontId="26" fillId="0" borderId="9" xfId="0" applyFont="1" applyFill="1" applyBorder="1" applyAlignment="1">
      <alignment horizontal="left" vertical="top" wrapText="1"/>
    </xf>
    <xf numFmtId="0" fontId="26" fillId="0" borderId="8" xfId="0" applyFont="1" applyFill="1" applyBorder="1" applyAlignment="1">
      <alignment horizontal="left" vertical="top" wrapText="1"/>
    </xf>
    <xf numFmtId="0" fontId="20" fillId="0" borderId="36" xfId="1" applyFont="1" applyFill="1" applyBorder="1" applyAlignment="1">
      <alignment horizontal="center" vertical="center" wrapText="1"/>
    </xf>
    <xf numFmtId="0" fontId="23" fillId="0" borderId="31" xfId="1" applyFont="1" applyBorder="1" applyAlignment="1">
      <alignment horizontal="left" vertical="top" wrapText="1" shrinkToFit="1"/>
    </xf>
    <xf numFmtId="0" fontId="22" fillId="0" borderId="0" xfId="0" applyFont="1" applyBorder="1" applyAlignment="1">
      <alignment horizontal="left" vertical="top" wrapText="1" shrinkToFit="1"/>
    </xf>
    <xf numFmtId="0" fontId="20" fillId="0" borderId="31" xfId="1" applyFont="1" applyFill="1" applyBorder="1" applyAlignment="1">
      <alignment horizontal="center" vertical="center"/>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7" fillId="0" borderId="0" xfId="1" applyFont="1" applyAlignment="1">
      <alignment horizontal="center" vertical="center" shrinkToFit="1"/>
    </xf>
    <xf numFmtId="0" fontId="19" fillId="0" borderId="0" xfId="1" applyFont="1" applyAlignment="1">
      <alignment horizontal="center" vertical="center" shrinkToFit="1"/>
    </xf>
    <xf numFmtId="0" fontId="2" fillId="0" borderId="0" xfId="1" applyFont="1" applyBorder="1" applyAlignment="1">
      <alignment horizontal="center" vertical="center"/>
    </xf>
    <xf numFmtId="0" fontId="0" fillId="0" borderId="0" xfId="0" applyBorder="1" applyAlignment="1">
      <alignment horizontal="center" vertical="center"/>
    </xf>
    <xf numFmtId="56" fontId="10" fillId="0" borderId="30" xfId="1" applyNumberFormat="1" applyFont="1" applyBorder="1" applyAlignment="1">
      <alignment horizontal="left" shrinkToFit="1"/>
    </xf>
    <xf numFmtId="0" fontId="10" fillId="0" borderId="30" xfId="1" applyFont="1" applyBorder="1" applyAlignment="1">
      <alignment horizontal="left" shrinkToFit="1"/>
    </xf>
    <xf numFmtId="0" fontId="1" fillId="0" borderId="0" xfId="1" applyFont="1" applyAlignment="1">
      <alignment horizontal="center" vertical="center" shrinkToFit="1"/>
    </xf>
  </cellXfs>
  <cellStyles count="4">
    <cellStyle name="標準" xfId="0" builtinId="0"/>
    <cellStyle name="標準 2" xfId="1"/>
    <cellStyle name="標準 2 16"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image" Target="../media/image41.png"/><Relationship Id="rId13" Type="http://schemas.openxmlformats.org/officeDocument/2006/relationships/image" Target="../media/image12.png"/><Relationship Id="rId18" Type="http://schemas.openxmlformats.org/officeDocument/2006/relationships/image" Target="../media/image48.png"/><Relationship Id="rId3" Type="http://schemas.openxmlformats.org/officeDocument/2006/relationships/image" Target="../media/image26.png"/><Relationship Id="rId21" Type="http://schemas.openxmlformats.org/officeDocument/2006/relationships/image" Target="../media/image51.png"/><Relationship Id="rId7" Type="http://schemas.openxmlformats.org/officeDocument/2006/relationships/image" Target="../media/image40.png"/><Relationship Id="rId12" Type="http://schemas.openxmlformats.org/officeDocument/2006/relationships/image" Target="../media/image45.png"/><Relationship Id="rId17" Type="http://schemas.openxmlformats.org/officeDocument/2006/relationships/image" Target="../media/image19.png"/><Relationship Id="rId2" Type="http://schemas.openxmlformats.org/officeDocument/2006/relationships/image" Target="../media/image37.png"/><Relationship Id="rId16" Type="http://schemas.openxmlformats.org/officeDocument/2006/relationships/image" Target="../media/image18.png"/><Relationship Id="rId20" Type="http://schemas.openxmlformats.org/officeDocument/2006/relationships/image" Target="../media/image50.png"/><Relationship Id="rId1" Type="http://schemas.openxmlformats.org/officeDocument/2006/relationships/image" Target="../media/image36.png"/><Relationship Id="rId6" Type="http://schemas.openxmlformats.org/officeDocument/2006/relationships/image" Target="../media/image39.png"/><Relationship Id="rId11" Type="http://schemas.openxmlformats.org/officeDocument/2006/relationships/image" Target="../media/image44.png"/><Relationship Id="rId5" Type="http://schemas.openxmlformats.org/officeDocument/2006/relationships/image" Target="../media/image24.png"/><Relationship Id="rId15" Type="http://schemas.openxmlformats.org/officeDocument/2006/relationships/image" Target="../media/image47.png"/><Relationship Id="rId10" Type="http://schemas.openxmlformats.org/officeDocument/2006/relationships/image" Target="../media/image43.png"/><Relationship Id="rId19" Type="http://schemas.openxmlformats.org/officeDocument/2006/relationships/image" Target="../media/image49.png"/><Relationship Id="rId4" Type="http://schemas.openxmlformats.org/officeDocument/2006/relationships/image" Target="../media/image38.png"/><Relationship Id="rId9" Type="http://schemas.openxmlformats.org/officeDocument/2006/relationships/image" Target="../media/image42.png"/><Relationship Id="rId14" Type="http://schemas.openxmlformats.org/officeDocument/2006/relationships/image" Target="../media/image46.png"/><Relationship Id="rId22" Type="http://schemas.openxmlformats.org/officeDocument/2006/relationships/image" Target="../media/image5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4.jpeg"/></Relationships>
</file>

<file path=xl/drawings/drawing1.xml><?xml version="1.0" encoding="utf-8"?>
<xdr:wsDr xmlns:xdr="http://schemas.openxmlformats.org/drawingml/2006/spreadsheetDrawing" xmlns:a="http://schemas.openxmlformats.org/drawingml/2006/main">
  <xdr:twoCellAnchor>
    <xdr:from>
      <xdr:col>10</xdr:col>
      <xdr:colOff>21166</xdr:colOff>
      <xdr:row>60</xdr:row>
      <xdr:rowOff>150578</xdr:rowOff>
    </xdr:from>
    <xdr:to>
      <xdr:col>12</xdr:col>
      <xdr:colOff>762000</xdr:colOff>
      <xdr:row>64</xdr:row>
      <xdr:rowOff>10584</xdr:rowOff>
    </xdr:to>
    <xdr:sp macro="" textlink="">
      <xdr:nvSpPr>
        <xdr:cNvPr id="2" name="テキスト ボックス 1"/>
        <xdr:cNvSpPr txBox="1"/>
      </xdr:nvSpPr>
      <xdr:spPr bwMode="auto">
        <a:xfrm>
          <a:off x="6336241" y="10085153"/>
          <a:ext cx="1445684" cy="5077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xdr:twoCellAnchor>
  <xdr:twoCellAnchor>
    <xdr:from>
      <xdr:col>10</xdr:col>
      <xdr:colOff>16491</xdr:colOff>
      <xdr:row>60</xdr:row>
      <xdr:rowOff>47625</xdr:rowOff>
    </xdr:from>
    <xdr:to>
      <xdr:col>12</xdr:col>
      <xdr:colOff>783167</xdr:colOff>
      <xdr:row>64</xdr:row>
      <xdr:rowOff>64545</xdr:rowOff>
    </xdr:to>
    <xdr:grpSp>
      <xdr:nvGrpSpPr>
        <xdr:cNvPr id="3" name="グループ化 2"/>
        <xdr:cNvGrpSpPr/>
      </xdr:nvGrpSpPr>
      <xdr:grpSpPr>
        <a:xfrm>
          <a:off x="6318866" y="9842500"/>
          <a:ext cx="1481051" cy="651920"/>
          <a:chOff x="6324158" y="9794875"/>
          <a:chExt cx="2177798" cy="651920"/>
        </a:xfrm>
      </xdr:grpSpPr>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158" y="9794875"/>
            <a:ext cx="2177798" cy="9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949" y="10352930"/>
            <a:ext cx="2157847" cy="93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267714</xdr:colOff>
      <xdr:row>59</xdr:row>
      <xdr:rowOff>130742</xdr:rowOff>
    </xdr:from>
    <xdr:to>
      <xdr:col>2</xdr:col>
      <xdr:colOff>1576915</xdr:colOff>
      <xdr:row>63</xdr:row>
      <xdr:rowOff>8591</xdr:rowOff>
    </xdr:to>
    <xdr:pic>
      <xdr:nvPicPr>
        <xdr:cNvPr id="6"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789" y="9903392"/>
          <a:ext cx="1309201" cy="525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58</xdr:row>
      <xdr:rowOff>87264</xdr:rowOff>
    </xdr:from>
    <xdr:to>
      <xdr:col>2</xdr:col>
      <xdr:colOff>501478</xdr:colOff>
      <xdr:row>65</xdr:row>
      <xdr:rowOff>47625</xdr:rowOff>
    </xdr:to>
    <xdr:pic>
      <xdr:nvPicPr>
        <xdr:cNvPr id="7" name="図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700" y="9697989"/>
          <a:ext cx="1088853" cy="1093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460389</xdr:colOff>
      <xdr:row>63</xdr:row>
      <xdr:rowOff>84094</xdr:rowOff>
    </xdr:from>
    <xdr:to>
      <xdr:col>2</xdr:col>
      <xdr:colOff>1081132</xdr:colOff>
      <xdr:row>65</xdr:row>
      <xdr:rowOff>136269</xdr:rowOff>
    </xdr:to>
    <xdr:pic>
      <xdr:nvPicPr>
        <xdr:cNvPr id="8" name="図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0464" y="10504444"/>
          <a:ext cx="620743" cy="37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359833</xdr:colOff>
      <xdr:row>60</xdr:row>
      <xdr:rowOff>121320</xdr:rowOff>
    </xdr:from>
    <xdr:to>
      <xdr:col>3</xdr:col>
      <xdr:colOff>1183944</xdr:colOff>
      <xdr:row>64</xdr:row>
      <xdr:rowOff>96002</xdr:rowOff>
    </xdr:to>
    <xdr:pic>
      <xdr:nvPicPr>
        <xdr:cNvPr id="9" name="図 1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88733" y="10055895"/>
          <a:ext cx="824111" cy="622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1182955</xdr:colOff>
      <xdr:row>60</xdr:row>
      <xdr:rowOff>57701</xdr:rowOff>
    </xdr:from>
    <xdr:to>
      <xdr:col>4</xdr:col>
      <xdr:colOff>283397</xdr:colOff>
      <xdr:row>62</xdr:row>
      <xdr:rowOff>123160</xdr:rowOff>
    </xdr:to>
    <xdr:pic>
      <xdr:nvPicPr>
        <xdr:cNvPr id="10" name="図 2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1855" y="9992276"/>
          <a:ext cx="329167" cy="389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445602</xdr:colOff>
      <xdr:row>61</xdr:row>
      <xdr:rowOff>111312</xdr:rowOff>
    </xdr:from>
    <xdr:to>
      <xdr:col>4</xdr:col>
      <xdr:colOff>764842</xdr:colOff>
      <xdr:row>64</xdr:row>
      <xdr:rowOff>7670</xdr:rowOff>
    </xdr:to>
    <xdr:pic>
      <xdr:nvPicPr>
        <xdr:cNvPr id="11" name="図 2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4303227" y="10207812"/>
          <a:ext cx="319240" cy="382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76512</xdr:colOff>
      <xdr:row>59</xdr:row>
      <xdr:rowOff>152548</xdr:rowOff>
    </xdr:from>
    <xdr:to>
      <xdr:col>5</xdr:col>
      <xdr:colOff>883478</xdr:colOff>
      <xdr:row>64</xdr:row>
      <xdr:rowOff>64123</xdr:rowOff>
    </xdr:to>
    <xdr:pic>
      <xdr:nvPicPr>
        <xdr:cNvPr id="12" name="図 2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62862" y="9925198"/>
          <a:ext cx="806966" cy="72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1528411</xdr:colOff>
      <xdr:row>60</xdr:row>
      <xdr:rowOff>75544</xdr:rowOff>
    </xdr:from>
    <xdr:to>
      <xdr:col>3</xdr:col>
      <xdr:colOff>222249</xdr:colOff>
      <xdr:row>65</xdr:row>
      <xdr:rowOff>35647</xdr:rowOff>
    </xdr:to>
    <xdr:pic>
      <xdr:nvPicPr>
        <xdr:cNvPr id="13" name="図 2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28486" y="10010119"/>
          <a:ext cx="722663" cy="769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69663</xdr:colOff>
      <xdr:row>0</xdr:row>
      <xdr:rowOff>38100</xdr:rowOff>
    </xdr:from>
    <xdr:to>
      <xdr:col>28</xdr:col>
      <xdr:colOff>560718</xdr:colOff>
      <xdr:row>6</xdr:row>
      <xdr:rowOff>71357</xdr:rowOff>
    </xdr:to>
    <xdr:grpSp>
      <xdr:nvGrpSpPr>
        <xdr:cNvPr id="14" name="グループ化 48"/>
        <xdr:cNvGrpSpPr>
          <a:grpSpLocks/>
        </xdr:cNvGrpSpPr>
      </xdr:nvGrpSpPr>
      <xdr:grpSpPr bwMode="auto">
        <a:xfrm>
          <a:off x="672913" y="38100"/>
          <a:ext cx="16620055" cy="1255632"/>
          <a:chOff x="619955" y="0"/>
          <a:chExt cx="17782886" cy="1248832"/>
        </a:xfrm>
      </xdr:grpSpPr>
      <xdr:grpSp>
        <xdr:nvGrpSpPr>
          <xdr:cNvPr id="15" name="グループ化 47"/>
          <xdr:cNvGrpSpPr>
            <a:grpSpLocks/>
          </xdr:cNvGrpSpPr>
        </xdr:nvGrpSpPr>
        <xdr:grpSpPr bwMode="auto">
          <a:xfrm>
            <a:off x="619955" y="0"/>
            <a:ext cx="12408128" cy="1248832"/>
            <a:chOff x="619955" y="0"/>
            <a:chExt cx="12408128" cy="1248832"/>
          </a:xfrm>
        </xdr:grpSpPr>
        <xdr:pic>
          <xdr:nvPicPr>
            <xdr:cNvPr id="24" name="図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30917" y="96353"/>
              <a:ext cx="801936" cy="792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19955" y="1"/>
              <a:ext cx="440243"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93749" y="126999"/>
              <a:ext cx="1182747" cy="1121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10"/>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762250" y="31751"/>
              <a:ext cx="804333" cy="569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1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93583" y="0"/>
              <a:ext cx="662744" cy="43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12"/>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381502" y="0"/>
              <a:ext cx="245306"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1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830245" y="0"/>
              <a:ext cx="334509"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13"/>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323416" y="10585"/>
              <a:ext cx="412750" cy="49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14"/>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947833" y="105833"/>
              <a:ext cx="465667"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15"/>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6773333" y="105834"/>
              <a:ext cx="275167" cy="26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7"/>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7344834" y="0"/>
              <a:ext cx="698500" cy="49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18"/>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flipH="1">
              <a:off x="8212666" y="74084"/>
              <a:ext cx="306917" cy="29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22"/>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8650818" y="67734"/>
              <a:ext cx="307747" cy="292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27"/>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0160000" y="0"/>
              <a:ext cx="1746250" cy="109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28"/>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1969750" y="21167"/>
              <a:ext cx="332859"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32"/>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9635066" y="0"/>
              <a:ext cx="332859"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29"/>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2636500" y="52916"/>
              <a:ext cx="391583" cy="412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34"/>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1243733" y="67733"/>
              <a:ext cx="302683" cy="31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6" name="図 30"/>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4541501" y="0"/>
            <a:ext cx="913200" cy="613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37"/>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3847234" y="35983"/>
            <a:ext cx="332859"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38"/>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3385800" y="50801"/>
            <a:ext cx="224367" cy="236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33"/>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5345833" y="21166"/>
            <a:ext cx="368516"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36"/>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5927916" y="42333"/>
            <a:ext cx="539751" cy="490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42"/>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6852900" y="0"/>
            <a:ext cx="368516"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43"/>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8069982" y="4234"/>
            <a:ext cx="332859"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39"/>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7258345" y="10584"/>
            <a:ext cx="585668"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27</xdr:col>
      <xdr:colOff>200385</xdr:colOff>
      <xdr:row>59</xdr:row>
      <xdr:rowOff>149157</xdr:rowOff>
    </xdr:from>
    <xdr:to>
      <xdr:col>28</xdr:col>
      <xdr:colOff>85725</xdr:colOff>
      <xdr:row>63</xdr:row>
      <xdr:rowOff>33948</xdr:rowOff>
    </xdr:to>
    <xdr:pic>
      <xdr:nvPicPr>
        <xdr:cNvPr id="42" name="図 44"/>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6135710" y="9921807"/>
          <a:ext cx="694965" cy="532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173058</xdr:colOff>
      <xdr:row>58</xdr:row>
      <xdr:rowOff>116573</xdr:rowOff>
    </xdr:from>
    <xdr:to>
      <xdr:col>28</xdr:col>
      <xdr:colOff>455135</xdr:colOff>
      <xdr:row>60</xdr:row>
      <xdr:rowOff>162925</xdr:rowOff>
    </xdr:to>
    <xdr:pic>
      <xdr:nvPicPr>
        <xdr:cNvPr id="43" name="図 49"/>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6918008" y="9727298"/>
          <a:ext cx="282077" cy="370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67101</xdr:colOff>
      <xdr:row>62</xdr:row>
      <xdr:rowOff>137401</xdr:rowOff>
    </xdr:from>
    <xdr:to>
      <xdr:col>28</xdr:col>
      <xdr:colOff>343670</xdr:colOff>
      <xdr:row>65</xdr:row>
      <xdr:rowOff>2685</xdr:rowOff>
    </xdr:to>
    <xdr:pic>
      <xdr:nvPicPr>
        <xdr:cNvPr id="44" name="図 50"/>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6812051" y="10395826"/>
          <a:ext cx="276569" cy="351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38391</xdr:colOff>
      <xdr:row>18</xdr:row>
      <xdr:rowOff>122968</xdr:rowOff>
    </xdr:from>
    <xdr:to>
      <xdr:col>3</xdr:col>
      <xdr:colOff>494328</xdr:colOff>
      <xdr:row>20</xdr:row>
      <xdr:rowOff>120753</xdr:rowOff>
    </xdr:to>
    <xdr:pic>
      <xdr:nvPicPr>
        <xdr:cNvPr id="45" name="図 1"/>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2667291" y="3256693"/>
          <a:ext cx="455937" cy="32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512579</xdr:colOff>
      <xdr:row>18</xdr:row>
      <xdr:rowOff>19300</xdr:rowOff>
    </xdr:from>
    <xdr:to>
      <xdr:col>18</xdr:col>
      <xdr:colOff>749735</xdr:colOff>
      <xdr:row>20</xdr:row>
      <xdr:rowOff>155711</xdr:rowOff>
    </xdr:to>
    <xdr:pic>
      <xdr:nvPicPr>
        <xdr:cNvPr id="46" name="図 2"/>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2056879" y="3153025"/>
          <a:ext cx="237156" cy="460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202761</xdr:colOff>
      <xdr:row>1</xdr:row>
      <xdr:rowOff>277251</xdr:rowOff>
    </xdr:to>
    <xdr:pic>
      <xdr:nvPicPr>
        <xdr:cNvPr id="2" name="図 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0"/>
          <a:ext cx="888561" cy="34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287144</xdr:colOff>
      <xdr:row>0</xdr:row>
      <xdr:rowOff>97348</xdr:rowOff>
    </xdr:from>
    <xdr:to>
      <xdr:col>14</xdr:col>
      <xdr:colOff>624672</xdr:colOff>
      <xdr:row>0</xdr:row>
      <xdr:rowOff>447799</xdr:rowOff>
    </xdr:to>
    <xdr:pic>
      <xdr:nvPicPr>
        <xdr:cNvPr id="3" name="図 5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8344" y="97348"/>
          <a:ext cx="337528" cy="74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605920</xdr:colOff>
      <xdr:row>0</xdr:row>
      <xdr:rowOff>379655</xdr:rowOff>
    </xdr:from>
    <xdr:to>
      <xdr:col>14</xdr:col>
      <xdr:colOff>905945</xdr:colOff>
      <xdr:row>0</xdr:row>
      <xdr:rowOff>700902</xdr:rowOff>
    </xdr:to>
    <xdr:pic>
      <xdr:nvPicPr>
        <xdr:cNvPr id="4" name="図 5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07120" y="170105"/>
          <a:ext cx="80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144107</xdr:colOff>
      <xdr:row>0</xdr:row>
      <xdr:rowOff>68143</xdr:rowOff>
    </xdr:from>
    <xdr:to>
      <xdr:col>15</xdr:col>
      <xdr:colOff>1301793</xdr:colOff>
      <xdr:row>1</xdr:row>
      <xdr:rowOff>43616</xdr:rowOff>
    </xdr:to>
    <xdr:pic>
      <xdr:nvPicPr>
        <xdr:cNvPr id="5" name="図 2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31107" y="68143"/>
          <a:ext cx="538561" cy="146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107082</xdr:rowOff>
    </xdr:from>
    <xdr:to>
      <xdr:col>15</xdr:col>
      <xdr:colOff>40973</xdr:colOff>
      <xdr:row>0</xdr:row>
      <xdr:rowOff>457533</xdr:rowOff>
    </xdr:to>
    <xdr:pic>
      <xdr:nvPicPr>
        <xdr:cNvPr id="6" name="図 2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87000" y="107082"/>
          <a:ext cx="40973" cy="6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62050</xdr:colOff>
      <xdr:row>0</xdr:row>
      <xdr:rowOff>97348</xdr:rowOff>
    </xdr:from>
    <xdr:to>
      <xdr:col>16</xdr:col>
      <xdr:colOff>540215</xdr:colOff>
      <xdr:row>0</xdr:row>
      <xdr:rowOff>827454</xdr:rowOff>
    </xdr:to>
    <xdr:pic>
      <xdr:nvPicPr>
        <xdr:cNvPr id="7" name="図 3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34850" y="97348"/>
          <a:ext cx="478165" cy="72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698857</xdr:colOff>
      <xdr:row>0</xdr:row>
      <xdr:rowOff>196192</xdr:rowOff>
    </xdr:from>
    <xdr:to>
      <xdr:col>16</xdr:col>
      <xdr:colOff>1301750</xdr:colOff>
      <xdr:row>0</xdr:row>
      <xdr:rowOff>780277</xdr:rowOff>
    </xdr:to>
    <xdr:pic>
      <xdr:nvPicPr>
        <xdr:cNvPr id="8" name="図 3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132" y="167617"/>
          <a:ext cx="0" cy="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853046</xdr:colOff>
      <xdr:row>0</xdr:row>
      <xdr:rowOff>136287</xdr:rowOff>
    </xdr:from>
    <xdr:to>
      <xdr:col>7</xdr:col>
      <xdr:colOff>667855</xdr:colOff>
      <xdr:row>1</xdr:row>
      <xdr:rowOff>102026</xdr:rowOff>
    </xdr:to>
    <xdr:pic>
      <xdr:nvPicPr>
        <xdr:cNvPr id="9" name="図 1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96396" y="136287"/>
          <a:ext cx="672059" cy="13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1080390</xdr:colOff>
      <xdr:row>0</xdr:row>
      <xdr:rowOff>116817</xdr:rowOff>
    </xdr:from>
    <xdr:to>
      <xdr:col>8</xdr:col>
      <xdr:colOff>0</xdr:colOff>
      <xdr:row>0</xdr:row>
      <xdr:rowOff>506207</xdr:rowOff>
    </xdr:to>
    <xdr:pic>
      <xdr:nvPicPr>
        <xdr:cNvPr id="10" name="図 1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490465" y="116817"/>
          <a:ext cx="0" cy="56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0</xdr:row>
      <xdr:rowOff>63500</xdr:rowOff>
    </xdr:from>
    <xdr:to>
      <xdr:col>6</xdr:col>
      <xdr:colOff>489629</xdr:colOff>
      <xdr:row>1</xdr:row>
      <xdr:rowOff>155790</xdr:rowOff>
    </xdr:to>
    <xdr:pic>
      <xdr:nvPicPr>
        <xdr:cNvPr id="11" name="図 2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257675" y="63500"/>
          <a:ext cx="346754" cy="263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236720</xdr:colOff>
      <xdr:row>0</xdr:row>
      <xdr:rowOff>68143</xdr:rowOff>
    </xdr:from>
    <xdr:to>
      <xdr:col>3</xdr:col>
      <xdr:colOff>1253768</xdr:colOff>
      <xdr:row>1</xdr:row>
      <xdr:rowOff>218842</xdr:rowOff>
    </xdr:to>
    <xdr:pic>
      <xdr:nvPicPr>
        <xdr:cNvPr id="12" name="図 3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94120" y="68143"/>
          <a:ext cx="445548" cy="274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301625</xdr:colOff>
      <xdr:row>0</xdr:row>
      <xdr:rowOff>26659</xdr:rowOff>
    </xdr:from>
    <xdr:to>
      <xdr:col>2</xdr:col>
      <xdr:colOff>129661</xdr:colOff>
      <xdr:row>1</xdr:row>
      <xdr:rowOff>196827</xdr:rowOff>
    </xdr:to>
    <xdr:pic>
      <xdr:nvPicPr>
        <xdr:cNvPr id="13" name="図 3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01625" y="26659"/>
          <a:ext cx="1199636" cy="313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148520</xdr:colOff>
      <xdr:row>0</xdr:row>
      <xdr:rowOff>122957</xdr:rowOff>
    </xdr:from>
    <xdr:to>
      <xdr:col>2</xdr:col>
      <xdr:colOff>1331456</xdr:colOff>
      <xdr:row>2</xdr:row>
      <xdr:rowOff>149225</xdr:rowOff>
    </xdr:to>
    <xdr:pic>
      <xdr:nvPicPr>
        <xdr:cNvPr id="14" name="図 38"/>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520120" y="122957"/>
          <a:ext cx="535236" cy="36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56180</xdr:colOff>
      <xdr:row>0</xdr:row>
      <xdr:rowOff>340716</xdr:rowOff>
    </xdr:from>
    <xdr:to>
      <xdr:col>4</xdr:col>
      <xdr:colOff>562472</xdr:colOff>
      <xdr:row>1</xdr:row>
      <xdr:rowOff>3750</xdr:rowOff>
    </xdr:to>
    <xdr:pic>
      <xdr:nvPicPr>
        <xdr:cNvPr id="15" name="図 42"/>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799380" y="169266"/>
          <a:ext cx="506292" cy="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688726</xdr:colOff>
      <xdr:row>0</xdr:row>
      <xdr:rowOff>155756</xdr:rowOff>
    </xdr:from>
    <xdr:to>
      <xdr:col>4</xdr:col>
      <xdr:colOff>1330743</xdr:colOff>
      <xdr:row>1</xdr:row>
      <xdr:rowOff>121495</xdr:rowOff>
    </xdr:to>
    <xdr:pic>
      <xdr:nvPicPr>
        <xdr:cNvPr id="16" name="図 43"/>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431926" y="155756"/>
          <a:ext cx="0" cy="13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150132</xdr:colOff>
      <xdr:row>0</xdr:row>
      <xdr:rowOff>303274</xdr:rowOff>
    </xdr:from>
    <xdr:to>
      <xdr:col>5</xdr:col>
      <xdr:colOff>609545</xdr:colOff>
      <xdr:row>0</xdr:row>
      <xdr:rowOff>585582</xdr:rowOff>
    </xdr:to>
    <xdr:pic>
      <xdr:nvPicPr>
        <xdr:cNvPr id="17" name="図 44"/>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579132" y="169924"/>
          <a:ext cx="459413" cy="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789815</xdr:colOff>
      <xdr:row>0</xdr:row>
      <xdr:rowOff>282308</xdr:rowOff>
    </xdr:from>
    <xdr:to>
      <xdr:col>5</xdr:col>
      <xdr:colOff>1061713</xdr:colOff>
      <xdr:row>0</xdr:row>
      <xdr:rowOff>554881</xdr:rowOff>
    </xdr:to>
    <xdr:pic>
      <xdr:nvPicPr>
        <xdr:cNvPr id="18" name="図 45"/>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114040" y="168008"/>
          <a:ext cx="5198" cy="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1197439</xdr:colOff>
      <xdr:row>0</xdr:row>
      <xdr:rowOff>48674</xdr:rowOff>
    </xdr:from>
    <xdr:to>
      <xdr:col>6</xdr:col>
      <xdr:colOff>0</xdr:colOff>
      <xdr:row>0</xdr:row>
      <xdr:rowOff>807985</xdr:rowOff>
    </xdr:to>
    <xdr:pic>
      <xdr:nvPicPr>
        <xdr:cNvPr id="19" name="図 46"/>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112089" y="48674"/>
          <a:ext cx="2711" cy="121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96793</xdr:colOff>
      <xdr:row>0</xdr:row>
      <xdr:rowOff>0</xdr:rowOff>
    </xdr:from>
    <xdr:to>
      <xdr:col>11</xdr:col>
      <xdr:colOff>913071</xdr:colOff>
      <xdr:row>2</xdr:row>
      <xdr:rowOff>55472</xdr:rowOff>
    </xdr:to>
    <xdr:pic>
      <xdr:nvPicPr>
        <xdr:cNvPr id="20" name="図 4"/>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54793" y="0"/>
          <a:ext cx="1273478" cy="398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305970</xdr:colOff>
      <xdr:row>0</xdr:row>
      <xdr:rowOff>126552</xdr:rowOff>
    </xdr:from>
    <xdr:to>
      <xdr:col>12</xdr:col>
      <xdr:colOff>596619</xdr:colOff>
      <xdr:row>0</xdr:row>
      <xdr:rowOff>447799</xdr:rowOff>
    </xdr:to>
    <xdr:pic>
      <xdr:nvPicPr>
        <xdr:cNvPr id="21" name="図 8"/>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535570" y="126552"/>
          <a:ext cx="290649" cy="45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774759</xdr:colOff>
      <xdr:row>0</xdr:row>
      <xdr:rowOff>126552</xdr:rowOff>
    </xdr:from>
    <xdr:to>
      <xdr:col>13</xdr:col>
      <xdr:colOff>0</xdr:colOff>
      <xdr:row>1</xdr:row>
      <xdr:rowOff>72821</xdr:rowOff>
    </xdr:to>
    <xdr:pic>
      <xdr:nvPicPr>
        <xdr:cNvPr id="22" name="図 10"/>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18634" y="126552"/>
          <a:ext cx="0" cy="11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1034955</xdr:colOff>
      <xdr:row>0</xdr:row>
      <xdr:rowOff>399125</xdr:rowOff>
    </xdr:from>
    <xdr:to>
      <xdr:col>12</xdr:col>
      <xdr:colOff>90327</xdr:colOff>
      <xdr:row>0</xdr:row>
      <xdr:rowOff>827454</xdr:rowOff>
    </xdr:to>
    <xdr:pic>
      <xdr:nvPicPr>
        <xdr:cNvPr id="23" name="図 13"/>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26330" y="170525"/>
          <a:ext cx="935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171450</xdr:colOff>
      <xdr:row>28</xdr:row>
      <xdr:rowOff>9525</xdr:rowOff>
    </xdr:from>
    <xdr:to>
      <xdr:col>17</xdr:col>
      <xdr:colOff>723900</xdr:colOff>
      <xdr:row>35</xdr:row>
      <xdr:rowOff>76200</xdr:rowOff>
    </xdr:to>
    <xdr:pic>
      <xdr:nvPicPr>
        <xdr:cNvPr id="1639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3325" y="7639050"/>
          <a:ext cx="2543175"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171450</xdr:colOff>
      <xdr:row>31</xdr:row>
      <xdr:rowOff>28575</xdr:rowOff>
    </xdr:from>
    <xdr:to>
      <xdr:col>18</xdr:col>
      <xdr:colOff>352425</xdr:colOff>
      <xdr:row>39</xdr:row>
      <xdr:rowOff>209550</xdr:rowOff>
    </xdr:to>
    <xdr:pic>
      <xdr:nvPicPr>
        <xdr:cNvPr id="6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3325" y="8372475"/>
          <a:ext cx="294322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tabSelected="1" view="pageBreakPreview" zoomScale="60" zoomScaleNormal="90" workbookViewId="0"/>
  </sheetViews>
  <sheetFormatPr defaultRowHeight="13.5"/>
  <cols>
    <col min="1" max="1" width="4.5" style="109" bestFit="1" customWidth="1"/>
    <col min="2" max="2" width="3.375" style="103" bestFit="1" customWidth="1"/>
    <col min="3" max="3" width="26.625" style="103" customWidth="1"/>
    <col min="4" max="6" width="16.125" style="103" customWidth="1"/>
    <col min="7" max="7" width="4.375" style="103" hidden="1" customWidth="1"/>
    <col min="8" max="8" width="5.125" style="131" hidden="1" customWidth="1"/>
    <col min="9" max="9" width="4.125" style="103" hidden="1" customWidth="1"/>
    <col min="10" max="10" width="10.625" style="103" hidden="1" customWidth="1"/>
    <col min="11" max="11" width="5.125" style="131" customWidth="1"/>
    <col min="12" max="12" width="4.125" style="103" bestFit="1" customWidth="1"/>
    <col min="13" max="13" width="10.625" style="103" customWidth="1"/>
    <col min="14" max="14" width="11.875" style="103" customWidth="1"/>
    <col min="15" max="15" width="2.375" style="103" customWidth="1"/>
    <col min="16" max="16" width="4.5" style="215" bestFit="1" customWidth="1"/>
    <col min="17" max="17" width="3.375" style="103" bestFit="1" customWidth="1"/>
    <col min="18" max="18" width="26.625" style="103" customWidth="1"/>
    <col min="19" max="21" width="16.125" style="103" customWidth="1"/>
    <col min="22" max="22" width="0.875" style="103" hidden="1" customWidth="1"/>
    <col min="23" max="23" width="5.125" style="131" hidden="1" customWidth="1"/>
    <col min="24" max="24" width="4.125" style="103" hidden="1" customWidth="1"/>
    <col min="25" max="25" width="10.625" style="103" hidden="1" customWidth="1"/>
    <col min="26" max="26" width="5.125" style="131" customWidth="1"/>
    <col min="27" max="27" width="4.125" style="103" bestFit="1" customWidth="1"/>
    <col min="28" max="28" width="10.625" style="103" customWidth="1"/>
    <col min="29" max="29" width="11.875" style="103" customWidth="1"/>
    <col min="30" max="16384" width="9" style="103"/>
  </cols>
  <sheetData>
    <row r="1" spans="1:29" ht="33.75" customHeight="1">
      <c r="P1" s="109"/>
    </row>
    <row r="2" spans="1:29" s="109" customFormat="1" ht="12" customHeight="1">
      <c r="A2" s="256" t="s">
        <v>12</v>
      </c>
      <c r="B2" s="257" t="s">
        <v>401</v>
      </c>
      <c r="C2" s="265"/>
      <c r="D2" s="259" t="s">
        <v>402</v>
      </c>
      <c r="E2" s="259"/>
      <c r="F2" s="259"/>
      <c r="G2" s="132"/>
      <c r="H2" s="260" t="s">
        <v>403</v>
      </c>
      <c r="I2" s="261"/>
      <c r="J2" s="262"/>
      <c r="K2" s="260" t="s">
        <v>404</v>
      </c>
      <c r="L2" s="261"/>
      <c r="M2" s="262"/>
      <c r="N2" s="133"/>
      <c r="O2" s="134"/>
      <c r="P2" s="256" t="s">
        <v>12</v>
      </c>
      <c r="Q2" s="257" t="s">
        <v>401</v>
      </c>
      <c r="R2" s="258"/>
      <c r="S2" s="259" t="s">
        <v>402</v>
      </c>
      <c r="T2" s="259"/>
      <c r="U2" s="259"/>
      <c r="V2" s="132"/>
      <c r="W2" s="260" t="s">
        <v>403</v>
      </c>
      <c r="X2" s="261"/>
      <c r="Y2" s="262"/>
      <c r="Z2" s="260" t="s">
        <v>404</v>
      </c>
      <c r="AA2" s="261"/>
      <c r="AB2" s="262"/>
      <c r="AC2" s="133"/>
    </row>
    <row r="3" spans="1:29" s="109" customFormat="1" ht="12" customHeight="1">
      <c r="A3" s="256"/>
      <c r="B3" s="257"/>
      <c r="C3" s="265"/>
      <c r="D3" s="254" t="s">
        <v>405</v>
      </c>
      <c r="E3" s="255" t="s">
        <v>406</v>
      </c>
      <c r="F3" s="263" t="s">
        <v>407</v>
      </c>
      <c r="G3" s="264"/>
      <c r="H3" s="250" t="s">
        <v>408</v>
      </c>
      <c r="I3" s="251"/>
      <c r="J3" s="245" t="s">
        <v>409</v>
      </c>
      <c r="K3" s="250" t="s">
        <v>408</v>
      </c>
      <c r="L3" s="251"/>
      <c r="M3" s="245" t="s">
        <v>409</v>
      </c>
      <c r="N3" s="247" t="s">
        <v>410</v>
      </c>
      <c r="O3" s="135"/>
      <c r="P3" s="256"/>
      <c r="Q3" s="257"/>
      <c r="R3" s="258"/>
      <c r="S3" s="254" t="s">
        <v>405</v>
      </c>
      <c r="T3" s="255" t="s">
        <v>406</v>
      </c>
      <c r="U3" s="263" t="s">
        <v>407</v>
      </c>
      <c r="V3" s="264"/>
      <c r="W3" s="250" t="s">
        <v>411</v>
      </c>
      <c r="X3" s="251"/>
      <c r="Y3" s="245" t="s">
        <v>409</v>
      </c>
      <c r="Z3" s="250" t="s">
        <v>411</v>
      </c>
      <c r="AA3" s="251"/>
      <c r="AB3" s="245" t="s">
        <v>409</v>
      </c>
      <c r="AC3" s="247" t="s">
        <v>412</v>
      </c>
    </row>
    <row r="4" spans="1:29" s="109" customFormat="1" ht="12" customHeight="1">
      <c r="A4" s="256"/>
      <c r="B4" s="257"/>
      <c r="C4" s="265"/>
      <c r="D4" s="254"/>
      <c r="E4" s="255"/>
      <c r="F4" s="263"/>
      <c r="G4" s="264"/>
      <c r="H4" s="250"/>
      <c r="I4" s="251"/>
      <c r="J4" s="245"/>
      <c r="K4" s="250"/>
      <c r="L4" s="251"/>
      <c r="M4" s="245"/>
      <c r="N4" s="247"/>
      <c r="O4" s="135"/>
      <c r="P4" s="256"/>
      <c r="Q4" s="257"/>
      <c r="R4" s="258"/>
      <c r="S4" s="254"/>
      <c r="T4" s="255"/>
      <c r="U4" s="263"/>
      <c r="V4" s="264"/>
      <c r="W4" s="250"/>
      <c r="X4" s="251"/>
      <c r="Y4" s="245"/>
      <c r="Z4" s="250"/>
      <c r="AA4" s="251"/>
      <c r="AB4" s="245"/>
      <c r="AC4" s="247"/>
    </row>
    <row r="5" spans="1:29" s="109" customFormat="1" ht="12" customHeight="1">
      <c r="A5" s="256"/>
      <c r="B5" s="257"/>
      <c r="C5" s="265"/>
      <c r="D5" s="254"/>
      <c r="E5" s="255"/>
      <c r="F5" s="263"/>
      <c r="G5" s="264"/>
      <c r="H5" s="250"/>
      <c r="I5" s="251"/>
      <c r="J5" s="245"/>
      <c r="K5" s="250"/>
      <c r="L5" s="251"/>
      <c r="M5" s="245"/>
      <c r="N5" s="247"/>
      <c r="O5" s="135"/>
      <c r="P5" s="256"/>
      <c r="Q5" s="257"/>
      <c r="R5" s="258"/>
      <c r="S5" s="254"/>
      <c r="T5" s="255"/>
      <c r="U5" s="263"/>
      <c r="V5" s="264"/>
      <c r="W5" s="250"/>
      <c r="X5" s="251"/>
      <c r="Y5" s="245"/>
      <c r="Z5" s="250"/>
      <c r="AA5" s="251"/>
      <c r="AB5" s="245"/>
      <c r="AC5" s="247"/>
    </row>
    <row r="6" spans="1:29" s="109" customFormat="1" ht="12" customHeight="1">
      <c r="A6" s="256"/>
      <c r="B6" s="257"/>
      <c r="C6" s="265"/>
      <c r="D6" s="254"/>
      <c r="E6" s="255"/>
      <c r="F6" s="263"/>
      <c r="G6" s="264"/>
      <c r="H6" s="252"/>
      <c r="I6" s="253"/>
      <c r="J6" s="246"/>
      <c r="K6" s="252"/>
      <c r="L6" s="253"/>
      <c r="M6" s="246"/>
      <c r="N6" s="248"/>
      <c r="O6" s="135"/>
      <c r="P6" s="256"/>
      <c r="Q6" s="257"/>
      <c r="R6" s="258"/>
      <c r="S6" s="254"/>
      <c r="T6" s="255"/>
      <c r="U6" s="263"/>
      <c r="V6" s="264"/>
      <c r="W6" s="252"/>
      <c r="X6" s="253"/>
      <c r="Y6" s="246"/>
      <c r="Z6" s="252"/>
      <c r="AA6" s="253"/>
      <c r="AB6" s="246"/>
      <c r="AC6" s="248"/>
    </row>
    <row r="7" spans="1:29" ht="12.75" customHeight="1">
      <c r="A7" s="231">
        <v>6</v>
      </c>
      <c r="B7" s="240" t="s">
        <v>344</v>
      </c>
      <c r="C7" s="136" t="s">
        <v>105</v>
      </c>
      <c r="D7" s="234" t="s">
        <v>413</v>
      </c>
      <c r="E7" s="234" t="s">
        <v>414</v>
      </c>
      <c r="F7" s="234" t="s">
        <v>415</v>
      </c>
      <c r="G7" s="137"/>
      <c r="H7" s="138">
        <v>394</v>
      </c>
      <c r="I7" s="139" t="s">
        <v>416</v>
      </c>
      <c r="J7" s="218" t="s">
        <v>417</v>
      </c>
      <c r="K7" s="138">
        <f>394*0.75</f>
        <v>295.5</v>
      </c>
      <c r="L7" s="139" t="s">
        <v>416</v>
      </c>
      <c r="M7" s="218" t="s">
        <v>417</v>
      </c>
      <c r="N7" s="140" t="s">
        <v>418</v>
      </c>
      <c r="O7" s="141"/>
      <c r="P7" s="222">
        <v>20</v>
      </c>
      <c r="Q7" s="222" t="s">
        <v>344</v>
      </c>
      <c r="R7" s="136" t="s">
        <v>105</v>
      </c>
      <c r="S7" s="234" t="s">
        <v>419</v>
      </c>
      <c r="T7" s="234" t="s">
        <v>420</v>
      </c>
      <c r="U7" s="234" t="s">
        <v>421</v>
      </c>
      <c r="V7" s="137"/>
      <c r="W7" s="138">
        <v>386</v>
      </c>
      <c r="X7" s="139" t="s">
        <v>416</v>
      </c>
      <c r="Y7" s="218" t="s">
        <v>417</v>
      </c>
      <c r="Z7" s="138">
        <f>386*0.75</f>
        <v>289.5</v>
      </c>
      <c r="AA7" s="139" t="s">
        <v>422</v>
      </c>
      <c r="AB7" s="218" t="s">
        <v>423</v>
      </c>
      <c r="AC7" s="140" t="s">
        <v>418</v>
      </c>
    </row>
    <row r="8" spans="1:29" ht="12.75" customHeight="1">
      <c r="A8" s="249"/>
      <c r="B8" s="240"/>
      <c r="C8" s="142" t="s">
        <v>118</v>
      </c>
      <c r="D8" s="234"/>
      <c r="E8" s="234"/>
      <c r="F8" s="234"/>
      <c r="G8" s="137"/>
      <c r="H8" s="143">
        <v>11</v>
      </c>
      <c r="I8" s="144" t="s">
        <v>424</v>
      </c>
      <c r="J8" s="219"/>
      <c r="K8" s="143">
        <f>11*0.75</f>
        <v>8.25</v>
      </c>
      <c r="L8" s="144" t="s">
        <v>424</v>
      </c>
      <c r="M8" s="219"/>
      <c r="N8" s="145" t="s">
        <v>425</v>
      </c>
      <c r="O8" s="141"/>
      <c r="P8" s="222"/>
      <c r="Q8" s="222"/>
      <c r="R8" s="142" t="s">
        <v>118</v>
      </c>
      <c r="S8" s="234"/>
      <c r="T8" s="234"/>
      <c r="U8" s="234"/>
      <c r="V8" s="137"/>
      <c r="W8" s="143">
        <v>11.299999999999999</v>
      </c>
      <c r="X8" s="144" t="s">
        <v>424</v>
      </c>
      <c r="Y8" s="219"/>
      <c r="Z8" s="143">
        <f>11.3*0.75</f>
        <v>8.4750000000000014</v>
      </c>
      <c r="AA8" s="144" t="s">
        <v>424</v>
      </c>
      <c r="AB8" s="219"/>
      <c r="AC8" s="146" t="s">
        <v>426</v>
      </c>
    </row>
    <row r="9" spans="1:29" ht="12.75" customHeight="1">
      <c r="A9" s="249"/>
      <c r="B9" s="240"/>
      <c r="C9" s="144" t="s">
        <v>124</v>
      </c>
      <c r="D9" s="234"/>
      <c r="E9" s="234"/>
      <c r="F9" s="234"/>
      <c r="G9" s="137"/>
      <c r="H9" s="143">
        <v>8.6999999999999993</v>
      </c>
      <c r="I9" s="144" t="s">
        <v>424</v>
      </c>
      <c r="J9" s="219"/>
      <c r="K9" s="143">
        <f>8.7*0.75</f>
        <v>6.5249999999999995</v>
      </c>
      <c r="L9" s="144" t="s">
        <v>424</v>
      </c>
      <c r="M9" s="219"/>
      <c r="N9" s="146"/>
      <c r="O9" s="141"/>
      <c r="P9" s="222"/>
      <c r="Q9" s="222"/>
      <c r="R9" s="144" t="s">
        <v>124</v>
      </c>
      <c r="S9" s="234"/>
      <c r="T9" s="234"/>
      <c r="U9" s="234"/>
      <c r="V9" s="137"/>
      <c r="W9" s="143">
        <v>8.6999999999999993</v>
      </c>
      <c r="X9" s="144" t="s">
        <v>424</v>
      </c>
      <c r="Y9" s="219"/>
      <c r="Z9" s="143">
        <f>8.7*0.75</f>
        <v>6.5249999999999995</v>
      </c>
      <c r="AA9" s="144" t="s">
        <v>424</v>
      </c>
      <c r="AB9" s="219"/>
      <c r="AC9" s="146"/>
    </row>
    <row r="10" spans="1:29" ht="12.75" customHeight="1">
      <c r="A10" s="249"/>
      <c r="B10" s="240"/>
      <c r="C10" s="144" t="s">
        <v>69</v>
      </c>
      <c r="D10" s="234"/>
      <c r="E10" s="234"/>
      <c r="F10" s="234"/>
      <c r="G10" s="137"/>
      <c r="H10" s="143">
        <v>65.8</v>
      </c>
      <c r="I10" s="144" t="s">
        <v>424</v>
      </c>
      <c r="J10" s="219"/>
      <c r="K10" s="143">
        <f>65.8*0.75</f>
        <v>49.349999999999994</v>
      </c>
      <c r="L10" s="144" t="s">
        <v>424</v>
      </c>
      <c r="M10" s="219"/>
      <c r="N10" s="146"/>
      <c r="O10" s="141"/>
      <c r="P10" s="222"/>
      <c r="Q10" s="222"/>
      <c r="R10" s="144" t="s">
        <v>69</v>
      </c>
      <c r="S10" s="234"/>
      <c r="T10" s="234"/>
      <c r="U10" s="234"/>
      <c r="V10" s="137"/>
      <c r="W10" s="143">
        <v>64.099999999999994</v>
      </c>
      <c r="X10" s="144" t="s">
        <v>424</v>
      </c>
      <c r="Y10" s="219"/>
      <c r="Z10" s="143">
        <f>64.1*0.75</f>
        <v>48.074999999999996</v>
      </c>
      <c r="AA10" s="144" t="s">
        <v>424</v>
      </c>
      <c r="AB10" s="219"/>
      <c r="AC10" s="146"/>
    </row>
    <row r="11" spans="1:29" ht="12.75" customHeight="1">
      <c r="A11" s="249"/>
      <c r="B11" s="240"/>
      <c r="C11" s="147" t="s">
        <v>130</v>
      </c>
      <c r="D11" s="234"/>
      <c r="E11" s="234"/>
      <c r="F11" s="234"/>
      <c r="G11" s="137"/>
      <c r="H11" s="148">
        <v>1</v>
      </c>
      <c r="I11" s="147" t="s">
        <v>424</v>
      </c>
      <c r="J11" s="220"/>
      <c r="K11" s="148">
        <f>1*0.75</f>
        <v>0.75</v>
      </c>
      <c r="L11" s="147" t="s">
        <v>424</v>
      </c>
      <c r="M11" s="220"/>
      <c r="N11" s="149"/>
      <c r="O11" s="141"/>
      <c r="P11" s="222"/>
      <c r="Q11" s="222"/>
      <c r="R11" s="147" t="s">
        <v>175</v>
      </c>
      <c r="S11" s="234"/>
      <c r="T11" s="234"/>
      <c r="U11" s="234"/>
      <c r="V11" s="137"/>
      <c r="W11" s="148">
        <v>1</v>
      </c>
      <c r="X11" s="147" t="s">
        <v>424</v>
      </c>
      <c r="Y11" s="220"/>
      <c r="Z11" s="148">
        <f>1*0.75</f>
        <v>0.75</v>
      </c>
      <c r="AA11" s="147" t="s">
        <v>424</v>
      </c>
      <c r="AB11" s="220"/>
      <c r="AC11" s="150" t="s">
        <v>427</v>
      </c>
    </row>
    <row r="12" spans="1:29" ht="12.75" customHeight="1">
      <c r="A12" s="222">
        <v>7</v>
      </c>
      <c r="B12" s="240" t="s">
        <v>328</v>
      </c>
      <c r="C12" s="136" t="s">
        <v>13</v>
      </c>
      <c r="D12" s="234" t="s">
        <v>428</v>
      </c>
      <c r="E12" s="234" t="s">
        <v>429</v>
      </c>
      <c r="F12" s="234" t="s">
        <v>430</v>
      </c>
      <c r="G12" s="137"/>
      <c r="H12" s="138">
        <v>386</v>
      </c>
      <c r="I12" s="139" t="s">
        <v>422</v>
      </c>
      <c r="J12" s="218" t="s">
        <v>140</v>
      </c>
      <c r="K12" s="138">
        <f>386*0.75</f>
        <v>289.5</v>
      </c>
      <c r="L12" s="139" t="s">
        <v>422</v>
      </c>
      <c r="M12" s="218" t="s">
        <v>140</v>
      </c>
      <c r="N12" s="140" t="s">
        <v>418</v>
      </c>
      <c r="O12" s="141"/>
      <c r="P12" s="222">
        <v>21</v>
      </c>
      <c r="Q12" s="222" t="s">
        <v>328</v>
      </c>
      <c r="R12" s="136" t="s">
        <v>13</v>
      </c>
      <c r="S12" s="234" t="s">
        <v>431</v>
      </c>
      <c r="T12" s="234" t="s">
        <v>432</v>
      </c>
      <c r="U12" s="234" t="s">
        <v>433</v>
      </c>
      <c r="V12" s="137"/>
      <c r="W12" s="138">
        <v>386</v>
      </c>
      <c r="X12" s="139" t="s">
        <v>422</v>
      </c>
      <c r="Y12" s="218" t="s">
        <v>140</v>
      </c>
      <c r="Z12" s="138">
        <f>386*0.75</f>
        <v>289.5</v>
      </c>
      <c r="AA12" s="139" t="s">
        <v>422</v>
      </c>
      <c r="AB12" s="218" t="s">
        <v>140</v>
      </c>
      <c r="AC12" s="140" t="s">
        <v>418</v>
      </c>
    </row>
    <row r="13" spans="1:29" ht="12.75" customHeight="1">
      <c r="A13" s="238"/>
      <c r="B13" s="240"/>
      <c r="C13" s="151" t="s">
        <v>133</v>
      </c>
      <c r="D13" s="234"/>
      <c r="E13" s="234"/>
      <c r="F13" s="234"/>
      <c r="G13" s="137"/>
      <c r="H13" s="143">
        <v>11</v>
      </c>
      <c r="I13" s="144" t="s">
        <v>424</v>
      </c>
      <c r="J13" s="219"/>
      <c r="K13" s="143">
        <f>11*0.75</f>
        <v>8.25</v>
      </c>
      <c r="L13" s="144" t="s">
        <v>424</v>
      </c>
      <c r="M13" s="219"/>
      <c r="N13" s="146" t="s">
        <v>434</v>
      </c>
      <c r="O13" s="141"/>
      <c r="P13" s="222"/>
      <c r="Q13" s="222"/>
      <c r="R13" s="151" t="s">
        <v>133</v>
      </c>
      <c r="S13" s="234"/>
      <c r="T13" s="234"/>
      <c r="U13" s="234"/>
      <c r="V13" s="137"/>
      <c r="W13" s="143">
        <v>11</v>
      </c>
      <c r="X13" s="144" t="s">
        <v>424</v>
      </c>
      <c r="Y13" s="219"/>
      <c r="Z13" s="143">
        <f>11*0.75</f>
        <v>8.25</v>
      </c>
      <c r="AA13" s="144" t="s">
        <v>424</v>
      </c>
      <c r="AB13" s="219"/>
      <c r="AC13" s="152" t="s">
        <v>425</v>
      </c>
    </row>
    <row r="14" spans="1:29" ht="12.75" customHeight="1">
      <c r="A14" s="238"/>
      <c r="B14" s="240"/>
      <c r="C14" s="144" t="s">
        <v>141</v>
      </c>
      <c r="D14" s="234"/>
      <c r="E14" s="234"/>
      <c r="F14" s="234"/>
      <c r="G14" s="137"/>
      <c r="H14" s="143">
        <v>10.9</v>
      </c>
      <c r="I14" s="144" t="s">
        <v>424</v>
      </c>
      <c r="J14" s="219"/>
      <c r="K14" s="143">
        <f>10.9*0.75</f>
        <v>8.1750000000000007</v>
      </c>
      <c r="L14" s="144" t="s">
        <v>424</v>
      </c>
      <c r="M14" s="219"/>
      <c r="N14" s="146"/>
      <c r="O14" s="141"/>
      <c r="P14" s="222"/>
      <c r="Q14" s="222"/>
      <c r="R14" s="144" t="s">
        <v>141</v>
      </c>
      <c r="S14" s="234"/>
      <c r="T14" s="234"/>
      <c r="U14" s="234"/>
      <c r="V14" s="137"/>
      <c r="W14" s="143">
        <v>10.9</v>
      </c>
      <c r="X14" s="144" t="s">
        <v>424</v>
      </c>
      <c r="Y14" s="219"/>
      <c r="Z14" s="143">
        <f>10.9*0.75</f>
        <v>8.1750000000000007</v>
      </c>
      <c r="AA14" s="144" t="s">
        <v>424</v>
      </c>
      <c r="AB14" s="219"/>
      <c r="AC14" s="146"/>
    </row>
    <row r="15" spans="1:29" ht="12.75" customHeight="1">
      <c r="A15" s="238"/>
      <c r="B15" s="240"/>
      <c r="C15" s="144" t="s">
        <v>145</v>
      </c>
      <c r="D15" s="234"/>
      <c r="E15" s="234"/>
      <c r="F15" s="234"/>
      <c r="G15" s="137"/>
      <c r="H15" s="143">
        <v>58.8</v>
      </c>
      <c r="I15" s="144" t="s">
        <v>424</v>
      </c>
      <c r="J15" s="219"/>
      <c r="K15" s="143">
        <f>58.8*0.75</f>
        <v>44.099999999999994</v>
      </c>
      <c r="L15" s="144" t="s">
        <v>424</v>
      </c>
      <c r="M15" s="219"/>
      <c r="N15" s="146"/>
      <c r="O15" s="141"/>
      <c r="P15" s="222"/>
      <c r="Q15" s="222"/>
      <c r="R15" s="144" t="s">
        <v>145</v>
      </c>
      <c r="S15" s="234"/>
      <c r="T15" s="234"/>
      <c r="U15" s="234"/>
      <c r="V15" s="137"/>
      <c r="W15" s="143">
        <v>58.8</v>
      </c>
      <c r="X15" s="144" t="s">
        <v>424</v>
      </c>
      <c r="Y15" s="219"/>
      <c r="Z15" s="143">
        <f>58.8*0.75</f>
        <v>44.099999999999994</v>
      </c>
      <c r="AA15" s="144" t="s">
        <v>424</v>
      </c>
      <c r="AB15" s="219"/>
      <c r="AC15" s="146"/>
    </row>
    <row r="16" spans="1:29" ht="12.75" customHeight="1">
      <c r="A16" s="238"/>
      <c r="B16" s="240"/>
      <c r="C16" s="147"/>
      <c r="D16" s="234"/>
      <c r="E16" s="234"/>
      <c r="F16" s="234"/>
      <c r="G16" s="137"/>
      <c r="H16" s="148">
        <v>1.3000000000000003</v>
      </c>
      <c r="I16" s="147" t="s">
        <v>424</v>
      </c>
      <c r="J16" s="220"/>
      <c r="K16" s="148">
        <f>1.3*0.75</f>
        <v>0.97500000000000009</v>
      </c>
      <c r="L16" s="147" t="s">
        <v>424</v>
      </c>
      <c r="M16" s="220"/>
      <c r="N16" s="150" t="s">
        <v>435</v>
      </c>
      <c r="O16" s="141"/>
      <c r="P16" s="222"/>
      <c r="Q16" s="222"/>
      <c r="R16" s="147"/>
      <c r="S16" s="234"/>
      <c r="T16" s="234"/>
      <c r="U16" s="234"/>
      <c r="V16" s="137"/>
      <c r="W16" s="148">
        <v>1.3000000000000003</v>
      </c>
      <c r="X16" s="147" t="s">
        <v>424</v>
      </c>
      <c r="Y16" s="220"/>
      <c r="Z16" s="148">
        <f>1.3*0.75</f>
        <v>0.97500000000000009</v>
      </c>
      <c r="AA16" s="147" t="s">
        <v>424</v>
      </c>
      <c r="AB16" s="220"/>
      <c r="AC16" s="149"/>
    </row>
    <row r="17" spans="1:29" ht="12.75" customHeight="1">
      <c r="A17" s="243" t="s">
        <v>436</v>
      </c>
      <c r="B17" s="242" t="s">
        <v>437</v>
      </c>
      <c r="C17" s="136" t="s">
        <v>156</v>
      </c>
      <c r="D17" s="234" t="s">
        <v>438</v>
      </c>
      <c r="E17" s="234" t="s">
        <v>439</v>
      </c>
      <c r="F17" s="234" t="s">
        <v>440</v>
      </c>
      <c r="G17" s="137"/>
      <c r="H17" s="138">
        <v>398</v>
      </c>
      <c r="I17" s="139" t="s">
        <v>422</v>
      </c>
      <c r="J17" s="218" t="s">
        <v>31</v>
      </c>
      <c r="K17" s="138">
        <f>398*0.75</f>
        <v>298.5</v>
      </c>
      <c r="L17" s="139" t="s">
        <v>416</v>
      </c>
      <c r="M17" s="218" t="s">
        <v>31</v>
      </c>
      <c r="N17" s="140" t="s">
        <v>418</v>
      </c>
      <c r="O17" s="141"/>
      <c r="P17" s="243" t="s">
        <v>441</v>
      </c>
      <c r="Q17" s="242" t="s">
        <v>437</v>
      </c>
      <c r="R17" s="136" t="s">
        <v>442</v>
      </c>
      <c r="S17" s="234" t="s">
        <v>443</v>
      </c>
      <c r="T17" s="234" t="s">
        <v>444</v>
      </c>
      <c r="U17" s="234" t="s">
        <v>445</v>
      </c>
      <c r="V17" s="137"/>
      <c r="W17" s="138">
        <v>449</v>
      </c>
      <c r="X17" s="139" t="s">
        <v>416</v>
      </c>
      <c r="Y17" s="218" t="s">
        <v>446</v>
      </c>
      <c r="Z17" s="138">
        <f>449*0.75</f>
        <v>336.75</v>
      </c>
      <c r="AA17" s="139" t="s">
        <v>416</v>
      </c>
      <c r="AB17" s="218" t="s">
        <v>446</v>
      </c>
      <c r="AC17" s="140" t="s">
        <v>418</v>
      </c>
    </row>
    <row r="18" spans="1:29" ht="12.75" customHeight="1">
      <c r="A18" s="244"/>
      <c r="B18" s="242"/>
      <c r="C18" s="142" t="s">
        <v>159</v>
      </c>
      <c r="D18" s="234"/>
      <c r="E18" s="234"/>
      <c r="F18" s="234"/>
      <c r="G18" s="137"/>
      <c r="H18" s="143">
        <v>11.699999999999998</v>
      </c>
      <c r="I18" s="144" t="s">
        <v>447</v>
      </c>
      <c r="J18" s="219"/>
      <c r="K18" s="143">
        <f>11.7*0.75</f>
        <v>8.7749999999999986</v>
      </c>
      <c r="L18" s="144" t="s">
        <v>447</v>
      </c>
      <c r="M18" s="219"/>
      <c r="N18" s="146" t="s">
        <v>448</v>
      </c>
      <c r="O18" s="141"/>
      <c r="P18" s="244"/>
      <c r="Q18" s="242"/>
      <c r="R18" s="142" t="s">
        <v>159</v>
      </c>
      <c r="S18" s="234"/>
      <c r="T18" s="234"/>
      <c r="U18" s="234"/>
      <c r="V18" s="137"/>
      <c r="W18" s="143">
        <v>12.399999999999999</v>
      </c>
      <c r="X18" s="144" t="s">
        <v>447</v>
      </c>
      <c r="Y18" s="219"/>
      <c r="Z18" s="143">
        <f>12.4*0.75</f>
        <v>9.3000000000000007</v>
      </c>
      <c r="AA18" s="144" t="s">
        <v>447</v>
      </c>
      <c r="AB18" s="219"/>
      <c r="AC18" s="146" t="s">
        <v>448</v>
      </c>
    </row>
    <row r="19" spans="1:29" ht="12.75" customHeight="1">
      <c r="A19" s="244"/>
      <c r="B19" s="242"/>
      <c r="C19" s="144" t="s">
        <v>169</v>
      </c>
      <c r="D19" s="234"/>
      <c r="E19" s="234"/>
      <c r="F19" s="234"/>
      <c r="G19" s="137"/>
      <c r="H19" s="143">
        <v>12.2</v>
      </c>
      <c r="I19" s="144" t="s">
        <v>447</v>
      </c>
      <c r="J19" s="219"/>
      <c r="K19" s="143">
        <f>12.2*0.75</f>
        <v>9.1499999999999986</v>
      </c>
      <c r="L19" s="144" t="s">
        <v>447</v>
      </c>
      <c r="M19" s="219"/>
      <c r="N19" s="146"/>
      <c r="O19" s="141"/>
      <c r="P19" s="244"/>
      <c r="Q19" s="242"/>
      <c r="R19" s="144" t="s">
        <v>169</v>
      </c>
      <c r="S19" s="234"/>
      <c r="T19" s="234"/>
      <c r="U19" s="234"/>
      <c r="V19" s="137"/>
      <c r="W19" s="143">
        <v>17</v>
      </c>
      <c r="X19" s="144" t="s">
        <v>447</v>
      </c>
      <c r="Y19" s="219"/>
      <c r="Z19" s="143">
        <f>17*0.75</f>
        <v>12.75</v>
      </c>
      <c r="AA19" s="144" t="s">
        <v>424</v>
      </c>
      <c r="AB19" s="219"/>
      <c r="AC19" s="146"/>
    </row>
    <row r="20" spans="1:29" ht="12.75" customHeight="1">
      <c r="A20" s="244"/>
      <c r="B20" s="242"/>
      <c r="C20" s="144" t="s">
        <v>175</v>
      </c>
      <c r="D20" s="234"/>
      <c r="E20" s="234"/>
      <c r="F20" s="234"/>
      <c r="G20" s="137"/>
      <c r="H20" s="143">
        <v>58.599999999999994</v>
      </c>
      <c r="I20" s="144" t="s">
        <v>424</v>
      </c>
      <c r="J20" s="219"/>
      <c r="K20" s="143">
        <f>58.6*0.75</f>
        <v>43.95</v>
      </c>
      <c r="L20" s="144" t="s">
        <v>424</v>
      </c>
      <c r="M20" s="219"/>
      <c r="N20" s="146"/>
      <c r="O20" s="141"/>
      <c r="P20" s="244"/>
      <c r="Q20" s="242"/>
      <c r="R20" s="144" t="s">
        <v>175</v>
      </c>
      <c r="S20" s="234"/>
      <c r="T20" s="234"/>
      <c r="U20" s="234"/>
      <c r="V20" s="137"/>
      <c r="W20" s="143">
        <v>60.5</v>
      </c>
      <c r="X20" s="144" t="s">
        <v>424</v>
      </c>
      <c r="Y20" s="219"/>
      <c r="Z20" s="143">
        <f>60.5*0.75</f>
        <v>45.375</v>
      </c>
      <c r="AA20" s="144" t="s">
        <v>424</v>
      </c>
      <c r="AB20" s="219"/>
      <c r="AC20" s="146"/>
    </row>
    <row r="21" spans="1:29" ht="12.75" customHeight="1">
      <c r="A21" s="244"/>
      <c r="B21" s="242"/>
      <c r="C21" s="147"/>
      <c r="D21" s="234"/>
      <c r="E21" s="234"/>
      <c r="F21" s="234"/>
      <c r="G21" s="137"/>
      <c r="H21" s="148">
        <v>0.7</v>
      </c>
      <c r="I21" s="147" t="s">
        <v>424</v>
      </c>
      <c r="J21" s="220"/>
      <c r="K21" s="148">
        <f>0.7*0.75</f>
        <v>0.52499999999999991</v>
      </c>
      <c r="L21" s="147" t="s">
        <v>424</v>
      </c>
      <c r="M21" s="220"/>
      <c r="N21" s="149"/>
      <c r="O21" s="141"/>
      <c r="P21" s="244"/>
      <c r="Q21" s="242"/>
      <c r="R21" s="147"/>
      <c r="S21" s="234"/>
      <c r="T21" s="234"/>
      <c r="U21" s="234"/>
      <c r="V21" s="137"/>
      <c r="W21" s="148">
        <v>1.3</v>
      </c>
      <c r="X21" s="147" t="s">
        <v>424</v>
      </c>
      <c r="Y21" s="220"/>
      <c r="Z21" s="148">
        <f>1.3*0.75</f>
        <v>0.97500000000000009</v>
      </c>
      <c r="AA21" s="147" t="s">
        <v>424</v>
      </c>
      <c r="AB21" s="220"/>
      <c r="AC21" s="149"/>
    </row>
    <row r="22" spans="1:29" ht="12.75" customHeight="1">
      <c r="A22" s="239">
        <v>9</v>
      </c>
      <c r="B22" s="240" t="s">
        <v>310</v>
      </c>
      <c r="C22" s="136" t="s">
        <v>13</v>
      </c>
      <c r="D22" s="234" t="s">
        <v>449</v>
      </c>
      <c r="E22" s="234" t="s">
        <v>450</v>
      </c>
      <c r="F22" s="234" t="s">
        <v>451</v>
      </c>
      <c r="G22" s="137"/>
      <c r="H22" s="138">
        <v>437</v>
      </c>
      <c r="I22" s="139" t="s">
        <v>422</v>
      </c>
      <c r="J22" s="218" t="s">
        <v>140</v>
      </c>
      <c r="K22" s="138">
        <f>437*0.75</f>
        <v>327.75</v>
      </c>
      <c r="L22" s="139" t="s">
        <v>422</v>
      </c>
      <c r="M22" s="218" t="s">
        <v>140</v>
      </c>
      <c r="N22" s="140" t="s">
        <v>418</v>
      </c>
      <c r="O22" s="141"/>
      <c r="P22" s="231">
        <v>23</v>
      </c>
      <c r="Q22" s="222" t="s">
        <v>310</v>
      </c>
      <c r="R22" s="136" t="s">
        <v>13</v>
      </c>
      <c r="S22" s="234" t="s">
        <v>452</v>
      </c>
      <c r="T22" s="234" t="s">
        <v>450</v>
      </c>
      <c r="U22" s="234" t="s">
        <v>451</v>
      </c>
      <c r="V22" s="137"/>
      <c r="W22" s="138">
        <v>437</v>
      </c>
      <c r="X22" s="139" t="s">
        <v>422</v>
      </c>
      <c r="Y22" s="218" t="s">
        <v>140</v>
      </c>
      <c r="Z22" s="138">
        <f>437*0.75</f>
        <v>327.75</v>
      </c>
      <c r="AA22" s="139" t="s">
        <v>422</v>
      </c>
      <c r="AB22" s="218" t="s">
        <v>140</v>
      </c>
      <c r="AC22" s="140" t="s">
        <v>418</v>
      </c>
    </row>
    <row r="23" spans="1:29" ht="12.75" customHeight="1">
      <c r="A23" s="241"/>
      <c r="B23" s="240"/>
      <c r="C23" s="151" t="s">
        <v>180</v>
      </c>
      <c r="D23" s="234"/>
      <c r="E23" s="234"/>
      <c r="F23" s="234"/>
      <c r="G23" s="137"/>
      <c r="H23" s="143">
        <v>18.100000000000001</v>
      </c>
      <c r="I23" s="144" t="s">
        <v>424</v>
      </c>
      <c r="J23" s="219"/>
      <c r="K23" s="143">
        <f>18.1*0.75</f>
        <v>13.575000000000001</v>
      </c>
      <c r="L23" s="144" t="s">
        <v>424</v>
      </c>
      <c r="M23" s="219"/>
      <c r="N23" s="145" t="s">
        <v>453</v>
      </c>
      <c r="O23" s="141"/>
      <c r="P23" s="222"/>
      <c r="Q23" s="222"/>
      <c r="R23" s="151" t="s">
        <v>180</v>
      </c>
      <c r="S23" s="234"/>
      <c r="T23" s="234"/>
      <c r="U23" s="234"/>
      <c r="V23" s="137"/>
      <c r="W23" s="143">
        <v>18.100000000000001</v>
      </c>
      <c r="X23" s="144" t="s">
        <v>424</v>
      </c>
      <c r="Y23" s="219"/>
      <c r="Z23" s="143">
        <f>18.1*0.75</f>
        <v>13.575000000000001</v>
      </c>
      <c r="AA23" s="144" t="s">
        <v>424</v>
      </c>
      <c r="AB23" s="219"/>
      <c r="AC23" s="145" t="s">
        <v>453</v>
      </c>
    </row>
    <row r="24" spans="1:29" ht="12.75" customHeight="1">
      <c r="A24" s="241"/>
      <c r="B24" s="240"/>
      <c r="C24" s="144" t="s">
        <v>185</v>
      </c>
      <c r="D24" s="234"/>
      <c r="E24" s="234"/>
      <c r="F24" s="234"/>
      <c r="G24" s="137"/>
      <c r="H24" s="143">
        <v>15.099999999999998</v>
      </c>
      <c r="I24" s="144" t="s">
        <v>424</v>
      </c>
      <c r="J24" s="219"/>
      <c r="K24" s="143">
        <f>15.1*0.75</f>
        <v>11.324999999999999</v>
      </c>
      <c r="L24" s="144" t="s">
        <v>424</v>
      </c>
      <c r="M24" s="219"/>
      <c r="N24" s="146"/>
      <c r="O24" s="141"/>
      <c r="P24" s="222"/>
      <c r="Q24" s="222"/>
      <c r="R24" s="144" t="s">
        <v>185</v>
      </c>
      <c r="S24" s="234"/>
      <c r="T24" s="234"/>
      <c r="U24" s="234"/>
      <c r="V24" s="137"/>
      <c r="W24" s="143">
        <v>15.099999999999998</v>
      </c>
      <c r="X24" s="144" t="s">
        <v>424</v>
      </c>
      <c r="Y24" s="219"/>
      <c r="Z24" s="143">
        <f>15.1*0.75</f>
        <v>11.324999999999999</v>
      </c>
      <c r="AA24" s="144" t="s">
        <v>424</v>
      </c>
      <c r="AB24" s="219"/>
      <c r="AC24" s="146"/>
    </row>
    <row r="25" spans="1:29" ht="12.75" customHeight="1">
      <c r="A25" s="241"/>
      <c r="B25" s="240"/>
      <c r="C25" s="144" t="s">
        <v>47</v>
      </c>
      <c r="D25" s="234"/>
      <c r="E25" s="234"/>
      <c r="F25" s="234"/>
      <c r="G25" s="137"/>
      <c r="H25" s="143">
        <v>55.20000000000001</v>
      </c>
      <c r="I25" s="144" t="s">
        <v>424</v>
      </c>
      <c r="J25" s="219"/>
      <c r="K25" s="143">
        <f>55.2*0.75</f>
        <v>41.400000000000006</v>
      </c>
      <c r="L25" s="144" t="s">
        <v>424</v>
      </c>
      <c r="M25" s="219"/>
      <c r="N25" s="146"/>
      <c r="O25" s="141"/>
      <c r="P25" s="222"/>
      <c r="Q25" s="222"/>
      <c r="R25" s="144" t="s">
        <v>47</v>
      </c>
      <c r="S25" s="234"/>
      <c r="T25" s="234"/>
      <c r="U25" s="234"/>
      <c r="V25" s="137"/>
      <c r="W25" s="143">
        <v>55.100000000000009</v>
      </c>
      <c r="X25" s="144" t="s">
        <v>424</v>
      </c>
      <c r="Y25" s="219"/>
      <c r="Z25" s="143">
        <f>55.1*0.75</f>
        <v>41.325000000000003</v>
      </c>
      <c r="AA25" s="144" t="s">
        <v>424</v>
      </c>
      <c r="AB25" s="219"/>
      <c r="AC25" s="146"/>
    </row>
    <row r="26" spans="1:29" ht="12.75" customHeight="1">
      <c r="A26" s="241"/>
      <c r="B26" s="240"/>
      <c r="C26" s="147"/>
      <c r="D26" s="234"/>
      <c r="E26" s="234"/>
      <c r="F26" s="234"/>
      <c r="G26" s="137"/>
      <c r="H26" s="148">
        <v>1.2</v>
      </c>
      <c r="I26" s="147" t="s">
        <v>424</v>
      </c>
      <c r="J26" s="220"/>
      <c r="K26" s="148">
        <f>1.2*0.75</f>
        <v>0.89999999999999991</v>
      </c>
      <c r="L26" s="147" t="s">
        <v>424</v>
      </c>
      <c r="M26" s="220"/>
      <c r="N26" s="149"/>
      <c r="O26" s="141"/>
      <c r="P26" s="222"/>
      <c r="Q26" s="222"/>
      <c r="R26" s="147"/>
      <c r="S26" s="234"/>
      <c r="T26" s="234"/>
      <c r="U26" s="234"/>
      <c r="V26" s="137"/>
      <c r="W26" s="148">
        <v>1.2</v>
      </c>
      <c r="X26" s="147" t="s">
        <v>424</v>
      </c>
      <c r="Y26" s="220"/>
      <c r="Z26" s="148">
        <f>1.2*0.75</f>
        <v>0.89999999999999991</v>
      </c>
      <c r="AA26" s="147" t="s">
        <v>424</v>
      </c>
      <c r="AB26" s="220"/>
      <c r="AC26" s="149"/>
    </row>
    <row r="27" spans="1:29" ht="12.75" customHeight="1">
      <c r="A27" s="222">
        <v>10</v>
      </c>
      <c r="B27" s="240" t="s">
        <v>304</v>
      </c>
      <c r="C27" s="136" t="s">
        <v>191</v>
      </c>
      <c r="D27" s="234" t="s">
        <v>454</v>
      </c>
      <c r="E27" s="234" t="s">
        <v>455</v>
      </c>
      <c r="F27" s="234" t="s">
        <v>456</v>
      </c>
      <c r="G27" s="137"/>
      <c r="H27" s="138">
        <v>373</v>
      </c>
      <c r="I27" s="139" t="s">
        <v>422</v>
      </c>
      <c r="J27" s="218" t="s">
        <v>31</v>
      </c>
      <c r="K27" s="138">
        <f>373*0.75</f>
        <v>279.75</v>
      </c>
      <c r="L27" s="139" t="s">
        <v>416</v>
      </c>
      <c r="M27" s="218" t="s">
        <v>31</v>
      </c>
      <c r="N27" s="140" t="s">
        <v>418</v>
      </c>
      <c r="O27" s="141"/>
      <c r="P27" s="222">
        <v>24</v>
      </c>
      <c r="Q27" s="222" t="s">
        <v>304</v>
      </c>
      <c r="R27" s="136" t="s">
        <v>191</v>
      </c>
      <c r="S27" s="234" t="s">
        <v>457</v>
      </c>
      <c r="T27" s="234" t="s">
        <v>455</v>
      </c>
      <c r="U27" s="234" t="s">
        <v>458</v>
      </c>
      <c r="V27" s="137"/>
      <c r="W27" s="138">
        <v>373</v>
      </c>
      <c r="X27" s="139" t="s">
        <v>416</v>
      </c>
      <c r="Y27" s="218" t="s">
        <v>31</v>
      </c>
      <c r="Z27" s="138">
        <f>373*0.75</f>
        <v>279.75</v>
      </c>
      <c r="AA27" s="139" t="s">
        <v>422</v>
      </c>
      <c r="AB27" s="218" t="s">
        <v>31</v>
      </c>
      <c r="AC27" s="140" t="s">
        <v>418</v>
      </c>
    </row>
    <row r="28" spans="1:29" ht="12.75" customHeight="1">
      <c r="A28" s="238"/>
      <c r="B28" s="240"/>
      <c r="C28" s="142" t="s">
        <v>195</v>
      </c>
      <c r="D28" s="234"/>
      <c r="E28" s="234"/>
      <c r="F28" s="234"/>
      <c r="G28" s="137"/>
      <c r="H28" s="143">
        <v>18.5</v>
      </c>
      <c r="I28" s="144" t="s">
        <v>424</v>
      </c>
      <c r="J28" s="219"/>
      <c r="K28" s="143">
        <f>18.5*0.75</f>
        <v>13.875</v>
      </c>
      <c r="L28" s="144" t="s">
        <v>424</v>
      </c>
      <c r="M28" s="219"/>
      <c r="N28" s="146" t="s">
        <v>459</v>
      </c>
      <c r="O28" s="141"/>
      <c r="P28" s="222"/>
      <c r="Q28" s="222"/>
      <c r="R28" s="142" t="s">
        <v>195</v>
      </c>
      <c r="S28" s="234"/>
      <c r="T28" s="234"/>
      <c r="U28" s="234"/>
      <c r="V28" s="137"/>
      <c r="W28" s="143">
        <v>18.599999999999998</v>
      </c>
      <c r="X28" s="144" t="s">
        <v>424</v>
      </c>
      <c r="Y28" s="219"/>
      <c r="Z28" s="143">
        <f>18.6*0.75</f>
        <v>13.950000000000001</v>
      </c>
      <c r="AA28" s="144" t="s">
        <v>424</v>
      </c>
      <c r="AB28" s="219"/>
      <c r="AC28" s="146" t="s">
        <v>460</v>
      </c>
    </row>
    <row r="29" spans="1:29" ht="12.75" customHeight="1">
      <c r="A29" s="238"/>
      <c r="B29" s="240"/>
      <c r="C29" s="144" t="s">
        <v>199</v>
      </c>
      <c r="D29" s="234"/>
      <c r="E29" s="234"/>
      <c r="F29" s="234"/>
      <c r="G29" s="137"/>
      <c r="H29" s="143">
        <v>9.4</v>
      </c>
      <c r="I29" s="144" t="s">
        <v>424</v>
      </c>
      <c r="J29" s="219"/>
      <c r="K29" s="143">
        <f>9.4*0.75</f>
        <v>7.0500000000000007</v>
      </c>
      <c r="L29" s="144" t="s">
        <v>424</v>
      </c>
      <c r="M29" s="219"/>
      <c r="N29" s="146" t="s">
        <v>461</v>
      </c>
      <c r="O29" s="141"/>
      <c r="P29" s="222"/>
      <c r="Q29" s="222"/>
      <c r="R29" s="144" t="s">
        <v>462</v>
      </c>
      <c r="S29" s="234"/>
      <c r="T29" s="234"/>
      <c r="U29" s="234"/>
      <c r="V29" s="137"/>
      <c r="W29" s="143">
        <v>9.4</v>
      </c>
      <c r="X29" s="144" t="s">
        <v>424</v>
      </c>
      <c r="Y29" s="219"/>
      <c r="Z29" s="143">
        <f>9.4*0.75</f>
        <v>7.0500000000000007</v>
      </c>
      <c r="AA29" s="144" t="s">
        <v>424</v>
      </c>
      <c r="AB29" s="219"/>
      <c r="AC29" s="146" t="s">
        <v>461</v>
      </c>
    </row>
    <row r="30" spans="1:29" ht="12.75" customHeight="1">
      <c r="A30" s="238"/>
      <c r="B30" s="240"/>
      <c r="C30" s="144" t="s">
        <v>202</v>
      </c>
      <c r="D30" s="234"/>
      <c r="E30" s="234"/>
      <c r="F30" s="234"/>
      <c r="G30" s="137"/>
      <c r="H30" s="143">
        <v>50.9</v>
      </c>
      <c r="I30" s="144" t="s">
        <v>424</v>
      </c>
      <c r="J30" s="219"/>
      <c r="K30" s="143">
        <f>50.9*0.75</f>
        <v>38.174999999999997</v>
      </c>
      <c r="L30" s="144" t="s">
        <v>424</v>
      </c>
      <c r="M30" s="219"/>
      <c r="N30" s="146"/>
      <c r="O30" s="141"/>
      <c r="P30" s="222"/>
      <c r="Q30" s="222"/>
      <c r="R30" s="144" t="s">
        <v>202</v>
      </c>
      <c r="S30" s="234"/>
      <c r="T30" s="234"/>
      <c r="U30" s="234"/>
      <c r="V30" s="137"/>
      <c r="W30" s="143">
        <v>50.6</v>
      </c>
      <c r="X30" s="144" t="s">
        <v>424</v>
      </c>
      <c r="Y30" s="219"/>
      <c r="Z30" s="143">
        <f>50.6*0.75</f>
        <v>37.950000000000003</v>
      </c>
      <c r="AA30" s="144" t="s">
        <v>424</v>
      </c>
      <c r="AB30" s="219"/>
      <c r="AC30" s="146"/>
    </row>
    <row r="31" spans="1:29" ht="12.75" customHeight="1">
      <c r="A31" s="238"/>
      <c r="B31" s="240"/>
      <c r="C31" s="147"/>
      <c r="D31" s="234"/>
      <c r="E31" s="234"/>
      <c r="F31" s="234"/>
      <c r="G31" s="137"/>
      <c r="H31" s="148">
        <v>1.2999999999999998</v>
      </c>
      <c r="I31" s="147" t="s">
        <v>424</v>
      </c>
      <c r="J31" s="220"/>
      <c r="K31" s="148">
        <f>1.3*0.75</f>
        <v>0.97500000000000009</v>
      </c>
      <c r="L31" s="147" t="s">
        <v>424</v>
      </c>
      <c r="M31" s="220"/>
      <c r="N31" s="149"/>
      <c r="O31" s="141"/>
      <c r="P31" s="222"/>
      <c r="Q31" s="222"/>
      <c r="R31" s="147"/>
      <c r="S31" s="234"/>
      <c r="T31" s="234"/>
      <c r="U31" s="234"/>
      <c r="V31" s="137"/>
      <c r="W31" s="148">
        <v>1.2999999999999998</v>
      </c>
      <c r="X31" s="147" t="s">
        <v>424</v>
      </c>
      <c r="Y31" s="220"/>
      <c r="Z31" s="148">
        <f>1.3*0.75</f>
        <v>0.97500000000000009</v>
      </c>
      <c r="AA31" s="147" t="s">
        <v>424</v>
      </c>
      <c r="AB31" s="220"/>
      <c r="AC31" s="149"/>
    </row>
    <row r="32" spans="1:29" ht="12.75" customHeight="1">
      <c r="A32" s="153"/>
      <c r="B32" s="154"/>
      <c r="C32" s="155"/>
      <c r="D32" s="156"/>
      <c r="E32" s="156"/>
      <c r="F32" s="156"/>
      <c r="G32" s="156"/>
      <c r="H32" s="157"/>
      <c r="I32" s="155"/>
      <c r="J32" s="158"/>
      <c r="K32" s="157"/>
      <c r="L32" s="155"/>
      <c r="M32" s="159"/>
      <c r="N32" s="159"/>
      <c r="O32" s="141"/>
      <c r="P32" s="153"/>
      <c r="Q32" s="154"/>
      <c r="R32" s="155"/>
      <c r="S32" s="156"/>
      <c r="T32" s="156"/>
      <c r="U32" s="156"/>
      <c r="V32" s="156"/>
      <c r="W32" s="157"/>
      <c r="X32" s="155"/>
      <c r="Y32" s="158"/>
      <c r="Z32" s="157"/>
      <c r="AA32" s="155"/>
      <c r="AB32" s="158"/>
      <c r="AC32" s="159"/>
    </row>
    <row r="33" spans="1:29" ht="12.75" customHeight="1">
      <c r="A33" s="160"/>
      <c r="B33" s="161"/>
      <c r="C33" s="162"/>
      <c r="D33" s="163"/>
      <c r="E33" s="163"/>
      <c r="F33" s="163"/>
      <c r="G33" s="163"/>
      <c r="H33" s="164"/>
      <c r="I33" s="162"/>
      <c r="J33" s="165"/>
      <c r="K33" s="164"/>
      <c r="L33" s="162"/>
      <c r="M33" s="166"/>
      <c r="N33" s="166"/>
      <c r="O33" s="141"/>
      <c r="P33" s="160"/>
      <c r="Q33" s="161"/>
      <c r="R33" s="162"/>
      <c r="S33" s="163"/>
      <c r="T33" s="163"/>
      <c r="U33" s="163"/>
      <c r="V33" s="163"/>
      <c r="W33" s="164"/>
      <c r="X33" s="162"/>
      <c r="Y33" s="165"/>
      <c r="Z33" s="164"/>
      <c r="AA33" s="162"/>
      <c r="AB33" s="165"/>
      <c r="AC33" s="166"/>
    </row>
    <row r="34" spans="1:29" ht="12.75" customHeight="1">
      <c r="A34" s="222">
        <v>14</v>
      </c>
      <c r="B34" s="240" t="s">
        <v>328</v>
      </c>
      <c r="C34" s="144" t="s">
        <v>13</v>
      </c>
      <c r="D34" s="234" t="s">
        <v>463</v>
      </c>
      <c r="E34" s="234" t="s">
        <v>464</v>
      </c>
      <c r="F34" s="234" t="s">
        <v>465</v>
      </c>
      <c r="G34" s="137"/>
      <c r="H34" s="138">
        <v>395</v>
      </c>
      <c r="I34" s="139" t="s">
        <v>422</v>
      </c>
      <c r="J34" s="218" t="s">
        <v>23</v>
      </c>
      <c r="K34" s="138">
        <f>395*0.75</f>
        <v>296.25</v>
      </c>
      <c r="L34" s="139" t="s">
        <v>422</v>
      </c>
      <c r="M34" s="218" t="s">
        <v>23</v>
      </c>
      <c r="N34" s="140" t="s">
        <v>418</v>
      </c>
      <c r="O34" s="141"/>
      <c r="P34" s="222">
        <v>27</v>
      </c>
      <c r="Q34" s="222" t="s">
        <v>344</v>
      </c>
      <c r="R34" s="167" t="s">
        <v>208</v>
      </c>
      <c r="S34" s="234" t="s">
        <v>466</v>
      </c>
      <c r="T34" s="234" t="s">
        <v>467</v>
      </c>
      <c r="U34" s="234" t="s">
        <v>468</v>
      </c>
      <c r="V34" s="137"/>
      <c r="W34" s="138">
        <v>385</v>
      </c>
      <c r="X34" s="139" t="s">
        <v>422</v>
      </c>
      <c r="Y34" s="218" t="s">
        <v>469</v>
      </c>
      <c r="Z34" s="138">
        <f>385*0.75</f>
        <v>288.75</v>
      </c>
      <c r="AA34" s="139" t="s">
        <v>422</v>
      </c>
      <c r="AB34" s="218" t="s">
        <v>469</v>
      </c>
      <c r="AC34" s="140" t="s">
        <v>418</v>
      </c>
    </row>
    <row r="35" spans="1:29" ht="12.75" customHeight="1">
      <c r="A35" s="238"/>
      <c r="B35" s="240"/>
      <c r="C35" s="142" t="s">
        <v>216</v>
      </c>
      <c r="D35" s="234"/>
      <c r="E35" s="234"/>
      <c r="F35" s="234"/>
      <c r="G35" s="137"/>
      <c r="H35" s="143">
        <v>12.799999999999997</v>
      </c>
      <c r="I35" s="144" t="s">
        <v>424</v>
      </c>
      <c r="J35" s="219"/>
      <c r="K35" s="143">
        <f>12.8*0.75</f>
        <v>9.6000000000000014</v>
      </c>
      <c r="L35" s="144" t="s">
        <v>424</v>
      </c>
      <c r="M35" s="219"/>
      <c r="N35" s="168" t="s">
        <v>470</v>
      </c>
      <c r="O35" s="141"/>
      <c r="P35" s="222"/>
      <c r="Q35" s="222"/>
      <c r="R35" s="144" t="s">
        <v>212</v>
      </c>
      <c r="S35" s="234"/>
      <c r="T35" s="234"/>
      <c r="U35" s="234"/>
      <c r="V35" s="137"/>
      <c r="W35" s="143">
        <v>15.399999999999999</v>
      </c>
      <c r="X35" s="144" t="s">
        <v>424</v>
      </c>
      <c r="Y35" s="219"/>
      <c r="Z35" s="143">
        <f>15.4*0.75</f>
        <v>11.55</v>
      </c>
      <c r="AA35" s="144" t="s">
        <v>424</v>
      </c>
      <c r="AB35" s="219"/>
      <c r="AC35" s="146" t="s">
        <v>471</v>
      </c>
    </row>
    <row r="36" spans="1:29" ht="12.75" customHeight="1">
      <c r="A36" s="238"/>
      <c r="B36" s="240"/>
      <c r="C36" s="144" t="s">
        <v>218</v>
      </c>
      <c r="D36" s="234"/>
      <c r="E36" s="234"/>
      <c r="F36" s="234"/>
      <c r="G36" s="137"/>
      <c r="H36" s="143">
        <v>7.7</v>
      </c>
      <c r="I36" s="144" t="s">
        <v>424</v>
      </c>
      <c r="J36" s="219"/>
      <c r="K36" s="143">
        <f>7.7*0.75</f>
        <v>5.7750000000000004</v>
      </c>
      <c r="L36" s="144" t="s">
        <v>424</v>
      </c>
      <c r="M36" s="219"/>
      <c r="N36" s="146"/>
      <c r="O36" s="141"/>
      <c r="P36" s="222"/>
      <c r="Q36" s="222"/>
      <c r="R36" s="144" t="s">
        <v>145</v>
      </c>
      <c r="S36" s="234"/>
      <c r="T36" s="234"/>
      <c r="U36" s="234"/>
      <c r="V36" s="137"/>
      <c r="W36" s="143">
        <v>13.499999999999998</v>
      </c>
      <c r="X36" s="144" t="s">
        <v>424</v>
      </c>
      <c r="Y36" s="219"/>
      <c r="Z36" s="143">
        <f>13.5*0.75</f>
        <v>10.125</v>
      </c>
      <c r="AA36" s="144" t="s">
        <v>424</v>
      </c>
      <c r="AB36" s="219"/>
      <c r="AC36" s="146" t="s">
        <v>472</v>
      </c>
    </row>
    <row r="37" spans="1:29" ht="12.75" customHeight="1">
      <c r="A37" s="238"/>
      <c r="B37" s="240"/>
      <c r="C37" s="144" t="s">
        <v>69</v>
      </c>
      <c r="D37" s="234"/>
      <c r="E37" s="234"/>
      <c r="F37" s="234"/>
      <c r="G37" s="137"/>
      <c r="H37" s="143">
        <v>66.099999999999994</v>
      </c>
      <c r="I37" s="144" t="s">
        <v>424</v>
      </c>
      <c r="J37" s="219"/>
      <c r="K37" s="143">
        <f>66.1*0.75</f>
        <v>49.574999999999996</v>
      </c>
      <c r="L37" s="144" t="s">
        <v>424</v>
      </c>
      <c r="M37" s="219"/>
      <c r="N37" s="146"/>
      <c r="O37" s="141"/>
      <c r="P37" s="222"/>
      <c r="Q37" s="222"/>
      <c r="R37" s="144"/>
      <c r="S37" s="234"/>
      <c r="T37" s="234"/>
      <c r="U37" s="234"/>
      <c r="V37" s="137"/>
      <c r="W37" s="143">
        <v>49.900000000000006</v>
      </c>
      <c r="X37" s="144" t="s">
        <v>424</v>
      </c>
      <c r="Y37" s="219"/>
      <c r="Z37" s="143">
        <f>49.9*0.75</f>
        <v>37.424999999999997</v>
      </c>
      <c r="AA37" s="144" t="s">
        <v>424</v>
      </c>
      <c r="AB37" s="219"/>
      <c r="AC37" s="146"/>
    </row>
    <row r="38" spans="1:29" ht="12.75" customHeight="1">
      <c r="A38" s="238"/>
      <c r="B38" s="240"/>
      <c r="C38" s="147" t="s">
        <v>103</v>
      </c>
      <c r="D38" s="234"/>
      <c r="E38" s="234"/>
      <c r="F38" s="234"/>
      <c r="G38" s="137"/>
      <c r="H38" s="148">
        <v>0.9</v>
      </c>
      <c r="I38" s="147" t="s">
        <v>424</v>
      </c>
      <c r="J38" s="220"/>
      <c r="K38" s="148">
        <f>0.9*0.75</f>
        <v>0.67500000000000004</v>
      </c>
      <c r="L38" s="147" t="s">
        <v>424</v>
      </c>
      <c r="M38" s="220"/>
      <c r="N38" s="149"/>
      <c r="O38" s="141"/>
      <c r="P38" s="222"/>
      <c r="Q38" s="222"/>
      <c r="R38" s="147"/>
      <c r="S38" s="234"/>
      <c r="T38" s="234"/>
      <c r="U38" s="234"/>
      <c r="V38" s="137"/>
      <c r="W38" s="148">
        <v>2.3000000000000003</v>
      </c>
      <c r="X38" s="147" t="s">
        <v>424</v>
      </c>
      <c r="Y38" s="220"/>
      <c r="Z38" s="148">
        <f>2.3*0.75</f>
        <v>1.7249999999999999</v>
      </c>
      <c r="AA38" s="147" t="s">
        <v>424</v>
      </c>
      <c r="AB38" s="220"/>
      <c r="AC38" s="149"/>
    </row>
    <row r="39" spans="1:29" ht="12.75" customHeight="1">
      <c r="A39" s="222">
        <v>15</v>
      </c>
      <c r="B39" s="240" t="s">
        <v>79</v>
      </c>
      <c r="C39" s="139" t="s">
        <v>105</v>
      </c>
      <c r="D39" s="234" t="s">
        <v>473</v>
      </c>
      <c r="E39" s="234" t="s">
        <v>474</v>
      </c>
      <c r="F39" s="234" t="s">
        <v>475</v>
      </c>
      <c r="G39" s="137"/>
      <c r="H39" s="138">
        <v>418</v>
      </c>
      <c r="I39" s="139" t="s">
        <v>422</v>
      </c>
      <c r="J39" s="218" t="s">
        <v>476</v>
      </c>
      <c r="K39" s="138">
        <f>418*0.75</f>
        <v>313.5</v>
      </c>
      <c r="L39" s="139" t="s">
        <v>477</v>
      </c>
      <c r="M39" s="218" t="s">
        <v>478</v>
      </c>
      <c r="N39" s="140" t="s">
        <v>418</v>
      </c>
      <c r="O39" s="141"/>
      <c r="P39" s="222">
        <v>28</v>
      </c>
      <c r="Q39" s="222" t="s">
        <v>328</v>
      </c>
      <c r="R39" s="144" t="s">
        <v>13</v>
      </c>
      <c r="S39" s="234" t="s">
        <v>479</v>
      </c>
      <c r="T39" s="234" t="s">
        <v>480</v>
      </c>
      <c r="U39" s="234" t="s">
        <v>481</v>
      </c>
      <c r="V39" s="137"/>
      <c r="W39" s="138">
        <v>387</v>
      </c>
      <c r="X39" s="139" t="s">
        <v>477</v>
      </c>
      <c r="Y39" s="218" t="s">
        <v>23</v>
      </c>
      <c r="Z39" s="138">
        <f>387*0.75</f>
        <v>290.25</v>
      </c>
      <c r="AA39" s="139" t="s">
        <v>422</v>
      </c>
      <c r="AB39" s="218" t="s">
        <v>23</v>
      </c>
      <c r="AC39" s="140" t="s">
        <v>418</v>
      </c>
    </row>
    <row r="40" spans="1:29" ht="12.75" customHeight="1">
      <c r="A40" s="238"/>
      <c r="B40" s="240"/>
      <c r="C40" s="169" t="s">
        <v>221</v>
      </c>
      <c r="D40" s="235"/>
      <c r="E40" s="235"/>
      <c r="F40" s="235"/>
      <c r="G40" s="170"/>
      <c r="H40" s="143">
        <v>14.899999999999999</v>
      </c>
      <c r="I40" s="144" t="s">
        <v>424</v>
      </c>
      <c r="J40" s="219"/>
      <c r="K40" s="143">
        <f>14.9*0.75</f>
        <v>11.175000000000001</v>
      </c>
      <c r="L40" s="144" t="s">
        <v>424</v>
      </c>
      <c r="M40" s="219"/>
      <c r="N40" s="146" t="s">
        <v>482</v>
      </c>
      <c r="O40" s="141"/>
      <c r="P40" s="222"/>
      <c r="Q40" s="222"/>
      <c r="R40" s="142" t="s">
        <v>216</v>
      </c>
      <c r="S40" s="234"/>
      <c r="T40" s="234"/>
      <c r="U40" s="234"/>
      <c r="V40" s="137"/>
      <c r="W40" s="143">
        <v>12.599999999999998</v>
      </c>
      <c r="X40" s="144" t="s">
        <v>424</v>
      </c>
      <c r="Y40" s="219"/>
      <c r="Z40" s="143">
        <f>12.6*0.75</f>
        <v>9.4499999999999993</v>
      </c>
      <c r="AA40" s="144" t="s">
        <v>424</v>
      </c>
      <c r="AB40" s="219"/>
      <c r="AC40" s="171" t="s">
        <v>470</v>
      </c>
    </row>
    <row r="41" spans="1:29" ht="12.75" customHeight="1">
      <c r="A41" s="238"/>
      <c r="B41" s="240"/>
      <c r="C41" s="144" t="s">
        <v>225</v>
      </c>
      <c r="D41" s="235"/>
      <c r="E41" s="235"/>
      <c r="F41" s="235"/>
      <c r="G41" s="170"/>
      <c r="H41" s="143">
        <v>13.499999999999998</v>
      </c>
      <c r="I41" s="144" t="s">
        <v>424</v>
      </c>
      <c r="J41" s="219"/>
      <c r="K41" s="143">
        <f>13.5*0.75</f>
        <v>10.125</v>
      </c>
      <c r="L41" s="144" t="s">
        <v>424</v>
      </c>
      <c r="M41" s="219"/>
      <c r="N41" s="146"/>
      <c r="O41" s="141"/>
      <c r="P41" s="222"/>
      <c r="Q41" s="222"/>
      <c r="R41" s="144" t="s">
        <v>218</v>
      </c>
      <c r="S41" s="234"/>
      <c r="T41" s="234"/>
      <c r="U41" s="234"/>
      <c r="V41" s="137"/>
      <c r="W41" s="143">
        <v>7.7</v>
      </c>
      <c r="X41" s="144" t="s">
        <v>424</v>
      </c>
      <c r="Y41" s="219"/>
      <c r="Z41" s="143">
        <f>7.7*0.75</f>
        <v>5.7750000000000004</v>
      </c>
      <c r="AA41" s="144" t="s">
        <v>424</v>
      </c>
      <c r="AB41" s="219"/>
      <c r="AC41" s="146"/>
    </row>
    <row r="42" spans="1:29" ht="12.75" customHeight="1">
      <c r="A42" s="238"/>
      <c r="B42" s="240"/>
      <c r="C42" s="144" t="s">
        <v>69</v>
      </c>
      <c r="D42" s="235"/>
      <c r="E42" s="235"/>
      <c r="F42" s="235"/>
      <c r="G42" s="170"/>
      <c r="H42" s="143">
        <v>56.29999999999999</v>
      </c>
      <c r="I42" s="144" t="s">
        <v>424</v>
      </c>
      <c r="J42" s="219"/>
      <c r="K42" s="143">
        <f>56.3*0.75</f>
        <v>42.224999999999994</v>
      </c>
      <c r="L42" s="144" t="s">
        <v>424</v>
      </c>
      <c r="M42" s="219"/>
      <c r="N42" s="146"/>
      <c r="O42" s="141"/>
      <c r="P42" s="222"/>
      <c r="Q42" s="222"/>
      <c r="R42" s="144" t="s">
        <v>69</v>
      </c>
      <c r="S42" s="234"/>
      <c r="T42" s="234"/>
      <c r="U42" s="234"/>
      <c r="V42" s="137"/>
      <c r="W42" s="143">
        <v>64.199999999999989</v>
      </c>
      <c r="X42" s="144" t="s">
        <v>424</v>
      </c>
      <c r="Y42" s="219"/>
      <c r="Z42" s="143">
        <f>64.2*0.75</f>
        <v>48.150000000000006</v>
      </c>
      <c r="AA42" s="144" t="s">
        <v>424</v>
      </c>
      <c r="AB42" s="219"/>
      <c r="AC42" s="146"/>
    </row>
    <row r="43" spans="1:29" ht="12.75" customHeight="1">
      <c r="A43" s="238"/>
      <c r="B43" s="240"/>
      <c r="C43" s="147"/>
      <c r="D43" s="235"/>
      <c r="E43" s="235"/>
      <c r="F43" s="235"/>
      <c r="G43" s="170"/>
      <c r="H43" s="148">
        <v>1.2999999999999998</v>
      </c>
      <c r="I43" s="147" t="s">
        <v>424</v>
      </c>
      <c r="J43" s="220"/>
      <c r="K43" s="148">
        <f>1.3*0.75</f>
        <v>0.97500000000000009</v>
      </c>
      <c r="L43" s="147" t="s">
        <v>424</v>
      </c>
      <c r="M43" s="220"/>
      <c r="N43" s="149"/>
      <c r="O43" s="141"/>
      <c r="P43" s="222"/>
      <c r="Q43" s="222"/>
      <c r="R43" s="147" t="s">
        <v>153</v>
      </c>
      <c r="S43" s="234"/>
      <c r="T43" s="234"/>
      <c r="U43" s="234"/>
      <c r="V43" s="137"/>
      <c r="W43" s="148">
        <v>0.9</v>
      </c>
      <c r="X43" s="147" t="s">
        <v>424</v>
      </c>
      <c r="Y43" s="220"/>
      <c r="Z43" s="148">
        <f>0.9*0.75</f>
        <v>0.67500000000000004</v>
      </c>
      <c r="AA43" s="147" t="s">
        <v>424</v>
      </c>
      <c r="AB43" s="220"/>
      <c r="AC43" s="149"/>
    </row>
    <row r="44" spans="1:29" ht="12.75" customHeight="1">
      <c r="A44" s="231">
        <v>16</v>
      </c>
      <c r="B44" s="239" t="s">
        <v>310</v>
      </c>
      <c r="C44" s="144" t="s">
        <v>13</v>
      </c>
      <c r="D44" s="234" t="s">
        <v>483</v>
      </c>
      <c r="E44" s="234" t="s">
        <v>484</v>
      </c>
      <c r="F44" s="234" t="s">
        <v>485</v>
      </c>
      <c r="G44" s="137"/>
      <c r="H44" s="138">
        <v>345</v>
      </c>
      <c r="I44" s="139" t="s">
        <v>422</v>
      </c>
      <c r="J44" s="218" t="s">
        <v>148</v>
      </c>
      <c r="K44" s="138">
        <f>345*0.75</f>
        <v>258.75</v>
      </c>
      <c r="L44" s="139" t="s">
        <v>422</v>
      </c>
      <c r="M44" s="218" t="s">
        <v>148</v>
      </c>
      <c r="N44" s="140" t="s">
        <v>418</v>
      </c>
      <c r="O44" s="141"/>
      <c r="P44" s="222">
        <v>29</v>
      </c>
      <c r="Q44" s="222" t="s">
        <v>79</v>
      </c>
      <c r="R44" s="139" t="s">
        <v>105</v>
      </c>
      <c r="S44" s="234" t="s">
        <v>486</v>
      </c>
      <c r="T44" s="234" t="s">
        <v>487</v>
      </c>
      <c r="U44" s="234" t="s">
        <v>488</v>
      </c>
      <c r="V44" s="137"/>
      <c r="W44" s="138">
        <v>411</v>
      </c>
      <c r="X44" s="139" t="s">
        <v>422</v>
      </c>
      <c r="Y44" s="218" t="s">
        <v>476</v>
      </c>
      <c r="Z44" s="138">
        <f>411*0.75</f>
        <v>308.25</v>
      </c>
      <c r="AA44" s="139" t="s">
        <v>416</v>
      </c>
      <c r="AB44" s="218" t="s">
        <v>489</v>
      </c>
      <c r="AC44" s="140" t="s">
        <v>418</v>
      </c>
    </row>
    <row r="45" spans="1:29" ht="12.75" customHeight="1">
      <c r="A45" s="222"/>
      <c r="B45" s="239"/>
      <c r="C45" s="142" t="s">
        <v>14</v>
      </c>
      <c r="D45" s="234"/>
      <c r="E45" s="234"/>
      <c r="F45" s="234"/>
      <c r="G45" s="137"/>
      <c r="H45" s="143">
        <v>12.600000000000001</v>
      </c>
      <c r="I45" s="144" t="s">
        <v>447</v>
      </c>
      <c r="J45" s="219"/>
      <c r="K45" s="143">
        <f>12.6*0.75</f>
        <v>9.4499999999999993</v>
      </c>
      <c r="L45" s="144" t="s">
        <v>447</v>
      </c>
      <c r="M45" s="219"/>
      <c r="N45" s="146" t="s">
        <v>490</v>
      </c>
      <c r="O45" s="141"/>
      <c r="P45" s="222"/>
      <c r="Q45" s="222"/>
      <c r="R45" s="169" t="s">
        <v>221</v>
      </c>
      <c r="S45" s="235"/>
      <c r="T45" s="235"/>
      <c r="U45" s="235"/>
      <c r="V45" s="170"/>
      <c r="W45" s="143">
        <v>15.099999999999998</v>
      </c>
      <c r="X45" s="144" t="s">
        <v>447</v>
      </c>
      <c r="Y45" s="219"/>
      <c r="Z45" s="143">
        <f>15.1*0.75</f>
        <v>11.324999999999999</v>
      </c>
      <c r="AA45" s="144" t="s">
        <v>447</v>
      </c>
      <c r="AB45" s="219"/>
      <c r="AC45" s="146" t="s">
        <v>491</v>
      </c>
    </row>
    <row r="46" spans="1:29" ht="12.75" customHeight="1">
      <c r="A46" s="222"/>
      <c r="B46" s="239"/>
      <c r="C46" s="144" t="s">
        <v>37</v>
      </c>
      <c r="D46" s="234"/>
      <c r="E46" s="234"/>
      <c r="F46" s="234"/>
      <c r="G46" s="137"/>
      <c r="H46" s="143">
        <v>8.6999999999999993</v>
      </c>
      <c r="I46" s="144" t="s">
        <v>447</v>
      </c>
      <c r="J46" s="219"/>
      <c r="K46" s="143">
        <f>8.7*0.75</f>
        <v>6.5249999999999995</v>
      </c>
      <c r="L46" s="144" t="s">
        <v>447</v>
      </c>
      <c r="M46" s="219"/>
      <c r="N46" s="146" t="s">
        <v>492</v>
      </c>
      <c r="O46" s="141"/>
      <c r="P46" s="222"/>
      <c r="Q46" s="222"/>
      <c r="R46" s="144" t="s">
        <v>225</v>
      </c>
      <c r="S46" s="235"/>
      <c r="T46" s="235"/>
      <c r="U46" s="235"/>
      <c r="V46" s="170"/>
      <c r="W46" s="143">
        <v>13.499999999999998</v>
      </c>
      <c r="X46" s="144" t="s">
        <v>447</v>
      </c>
      <c r="Y46" s="219"/>
      <c r="Z46" s="143">
        <f>13.5*0.75</f>
        <v>10.125</v>
      </c>
      <c r="AA46" s="144" t="s">
        <v>447</v>
      </c>
      <c r="AB46" s="219"/>
      <c r="AC46" s="146"/>
    </row>
    <row r="47" spans="1:29" ht="12.75" customHeight="1">
      <c r="A47" s="222"/>
      <c r="B47" s="239"/>
      <c r="C47" s="144" t="s">
        <v>47</v>
      </c>
      <c r="D47" s="234"/>
      <c r="E47" s="234"/>
      <c r="F47" s="234"/>
      <c r="G47" s="137"/>
      <c r="H47" s="143">
        <v>52.000000000000007</v>
      </c>
      <c r="I47" s="144" t="s">
        <v>447</v>
      </c>
      <c r="J47" s="219"/>
      <c r="K47" s="143">
        <f>52*0.75</f>
        <v>39</v>
      </c>
      <c r="L47" s="144" t="s">
        <v>424</v>
      </c>
      <c r="M47" s="219"/>
      <c r="N47" s="146"/>
      <c r="O47" s="141"/>
      <c r="P47" s="222"/>
      <c r="Q47" s="222"/>
      <c r="R47" s="144" t="s">
        <v>69</v>
      </c>
      <c r="S47" s="235"/>
      <c r="T47" s="235"/>
      <c r="U47" s="235"/>
      <c r="V47" s="170"/>
      <c r="W47" s="143">
        <v>54.499999999999986</v>
      </c>
      <c r="X47" s="144" t="s">
        <v>424</v>
      </c>
      <c r="Y47" s="219"/>
      <c r="Z47" s="143">
        <f>54.5*0.75</f>
        <v>40.875</v>
      </c>
      <c r="AA47" s="144" t="s">
        <v>424</v>
      </c>
      <c r="AB47" s="219"/>
      <c r="AC47" s="146"/>
    </row>
    <row r="48" spans="1:29" ht="12.75" customHeight="1">
      <c r="A48" s="222"/>
      <c r="B48" s="239"/>
      <c r="C48" s="147" t="s">
        <v>153</v>
      </c>
      <c r="D48" s="234"/>
      <c r="E48" s="234"/>
      <c r="F48" s="234"/>
      <c r="G48" s="137"/>
      <c r="H48" s="148">
        <v>0.79999999999999993</v>
      </c>
      <c r="I48" s="147" t="s">
        <v>424</v>
      </c>
      <c r="J48" s="220"/>
      <c r="K48" s="148">
        <f>0.8*0.75</f>
        <v>0.60000000000000009</v>
      </c>
      <c r="L48" s="147" t="s">
        <v>424</v>
      </c>
      <c r="M48" s="220"/>
      <c r="N48" s="149"/>
      <c r="O48" s="141"/>
      <c r="P48" s="222"/>
      <c r="Q48" s="222"/>
      <c r="R48" s="147"/>
      <c r="S48" s="235"/>
      <c r="T48" s="235"/>
      <c r="U48" s="235"/>
      <c r="V48" s="170"/>
      <c r="W48" s="148">
        <v>1.2999999999999998</v>
      </c>
      <c r="X48" s="147" t="s">
        <v>424</v>
      </c>
      <c r="Y48" s="220"/>
      <c r="Z48" s="148">
        <f>1.3*0.75</f>
        <v>0.97500000000000009</v>
      </c>
      <c r="AA48" s="147" t="s">
        <v>424</v>
      </c>
      <c r="AB48" s="220"/>
      <c r="AC48" s="149"/>
    </row>
    <row r="49" spans="1:29" ht="12.75" customHeight="1">
      <c r="A49" s="222">
        <v>17</v>
      </c>
      <c r="B49" s="222" t="s">
        <v>304</v>
      </c>
      <c r="C49" s="172" t="s">
        <v>71</v>
      </c>
      <c r="D49" s="234" t="s">
        <v>493</v>
      </c>
      <c r="E49" s="234" t="s">
        <v>494</v>
      </c>
      <c r="F49" s="234" t="s">
        <v>495</v>
      </c>
      <c r="G49" s="137"/>
      <c r="H49" s="173">
        <v>430</v>
      </c>
      <c r="I49" s="139" t="s">
        <v>422</v>
      </c>
      <c r="J49" s="218" t="s">
        <v>496</v>
      </c>
      <c r="K49" s="173">
        <f>430*0.75</f>
        <v>322.5</v>
      </c>
      <c r="L49" s="139" t="s">
        <v>477</v>
      </c>
      <c r="M49" s="218" t="s">
        <v>497</v>
      </c>
      <c r="N49" s="140" t="s">
        <v>418</v>
      </c>
      <c r="O49" s="141"/>
      <c r="P49" s="231">
        <v>30</v>
      </c>
      <c r="Q49" s="222" t="s">
        <v>310</v>
      </c>
      <c r="R49" s="136" t="s">
        <v>13</v>
      </c>
      <c r="S49" s="234" t="s">
        <v>483</v>
      </c>
      <c r="T49" s="234" t="s">
        <v>498</v>
      </c>
      <c r="U49" s="234" t="s">
        <v>485</v>
      </c>
      <c r="V49" s="137"/>
      <c r="W49" s="138">
        <v>337</v>
      </c>
      <c r="X49" s="139" t="s">
        <v>477</v>
      </c>
      <c r="Y49" s="218" t="s">
        <v>148</v>
      </c>
      <c r="Z49" s="138">
        <f>337*0.75</f>
        <v>252.75</v>
      </c>
      <c r="AA49" s="139" t="s">
        <v>422</v>
      </c>
      <c r="AB49" s="218" t="s">
        <v>148</v>
      </c>
      <c r="AC49" s="140" t="s">
        <v>418</v>
      </c>
    </row>
    <row r="50" spans="1:29" ht="12.75" customHeight="1">
      <c r="A50" s="238"/>
      <c r="B50" s="222"/>
      <c r="C50" s="144" t="s">
        <v>83</v>
      </c>
      <c r="D50" s="235"/>
      <c r="E50" s="235"/>
      <c r="F50" s="234"/>
      <c r="G50" s="137"/>
      <c r="H50" s="143">
        <v>13.099999999999998</v>
      </c>
      <c r="I50" s="174" t="s">
        <v>424</v>
      </c>
      <c r="J50" s="219"/>
      <c r="K50" s="143">
        <f>13.1*0.75</f>
        <v>9.8249999999999993</v>
      </c>
      <c r="L50" s="174" t="s">
        <v>424</v>
      </c>
      <c r="M50" s="219"/>
      <c r="N50" s="146" t="s">
        <v>499</v>
      </c>
      <c r="O50" s="141"/>
      <c r="P50" s="231"/>
      <c r="Q50" s="222"/>
      <c r="R50" s="142" t="s">
        <v>14</v>
      </c>
      <c r="S50" s="234"/>
      <c r="T50" s="234"/>
      <c r="U50" s="234"/>
      <c r="V50" s="137"/>
      <c r="W50" s="143">
        <v>12</v>
      </c>
      <c r="X50" s="144" t="s">
        <v>424</v>
      </c>
      <c r="Y50" s="219"/>
      <c r="Z50" s="143">
        <f>12*0.75</f>
        <v>9</v>
      </c>
      <c r="AA50" s="144" t="s">
        <v>424</v>
      </c>
      <c r="AB50" s="219"/>
      <c r="AC50" s="146" t="s">
        <v>490</v>
      </c>
    </row>
    <row r="51" spans="1:29" ht="12.75" customHeight="1">
      <c r="A51" s="238"/>
      <c r="B51" s="222"/>
      <c r="C51" s="144" t="s">
        <v>238</v>
      </c>
      <c r="D51" s="235"/>
      <c r="E51" s="235"/>
      <c r="F51" s="234"/>
      <c r="G51" s="137"/>
      <c r="H51" s="143">
        <v>11.1</v>
      </c>
      <c r="I51" s="174" t="s">
        <v>424</v>
      </c>
      <c r="J51" s="219"/>
      <c r="K51" s="143">
        <f>11.1*0.75</f>
        <v>8.3249999999999993</v>
      </c>
      <c r="L51" s="174" t="s">
        <v>424</v>
      </c>
      <c r="M51" s="219"/>
      <c r="N51" s="146" t="s">
        <v>472</v>
      </c>
      <c r="O51" s="141"/>
      <c r="P51" s="231"/>
      <c r="Q51" s="222"/>
      <c r="R51" s="144" t="s">
        <v>37</v>
      </c>
      <c r="S51" s="234"/>
      <c r="T51" s="234"/>
      <c r="U51" s="234"/>
      <c r="V51" s="137"/>
      <c r="W51" s="143">
        <v>8.1999999999999993</v>
      </c>
      <c r="X51" s="144" t="s">
        <v>424</v>
      </c>
      <c r="Y51" s="219"/>
      <c r="Z51" s="143">
        <f>8.2*0.75</f>
        <v>6.1499999999999995</v>
      </c>
      <c r="AA51" s="144" t="s">
        <v>424</v>
      </c>
      <c r="AB51" s="219"/>
      <c r="AC51" s="146" t="s">
        <v>492</v>
      </c>
    </row>
    <row r="52" spans="1:29" ht="12.75" customHeight="1">
      <c r="A52" s="238"/>
      <c r="B52" s="222"/>
      <c r="C52" s="144"/>
      <c r="D52" s="235"/>
      <c r="E52" s="235"/>
      <c r="F52" s="234"/>
      <c r="G52" s="137"/>
      <c r="H52" s="143">
        <v>66.899999999999991</v>
      </c>
      <c r="I52" s="174" t="s">
        <v>424</v>
      </c>
      <c r="J52" s="219"/>
      <c r="K52" s="143">
        <f>66.9*0.75</f>
        <v>50.175000000000004</v>
      </c>
      <c r="L52" s="174" t="s">
        <v>424</v>
      </c>
      <c r="M52" s="219"/>
      <c r="N52" s="146"/>
      <c r="O52" s="141"/>
      <c r="P52" s="231"/>
      <c r="Q52" s="222"/>
      <c r="R52" s="144" t="s">
        <v>47</v>
      </c>
      <c r="S52" s="234"/>
      <c r="T52" s="234"/>
      <c r="U52" s="234"/>
      <c r="V52" s="137"/>
      <c r="W52" s="143">
        <v>52.000000000000007</v>
      </c>
      <c r="X52" s="144" t="s">
        <v>424</v>
      </c>
      <c r="Y52" s="219"/>
      <c r="Z52" s="143">
        <f>52*0.75</f>
        <v>39</v>
      </c>
      <c r="AA52" s="144" t="s">
        <v>424</v>
      </c>
      <c r="AB52" s="219"/>
      <c r="AC52" s="146"/>
    </row>
    <row r="53" spans="1:29" ht="12.75" customHeight="1">
      <c r="A53" s="238"/>
      <c r="B53" s="222"/>
      <c r="C53" s="147"/>
      <c r="D53" s="235"/>
      <c r="E53" s="235"/>
      <c r="F53" s="234"/>
      <c r="G53" s="137"/>
      <c r="H53" s="148">
        <v>1.3000000000000003</v>
      </c>
      <c r="I53" s="175" t="s">
        <v>424</v>
      </c>
      <c r="J53" s="220"/>
      <c r="K53" s="148">
        <f>1.3*0.75</f>
        <v>0.97500000000000009</v>
      </c>
      <c r="L53" s="175" t="s">
        <v>424</v>
      </c>
      <c r="M53" s="220"/>
      <c r="N53" s="149"/>
      <c r="O53" s="141"/>
      <c r="P53" s="231"/>
      <c r="Q53" s="222"/>
      <c r="R53" s="147" t="s">
        <v>153</v>
      </c>
      <c r="S53" s="234"/>
      <c r="T53" s="234"/>
      <c r="U53" s="234"/>
      <c r="V53" s="137"/>
      <c r="W53" s="148">
        <v>0.79999999999999993</v>
      </c>
      <c r="X53" s="147" t="s">
        <v>424</v>
      </c>
      <c r="Y53" s="220"/>
      <c r="Z53" s="148">
        <f>0.8*0.75</f>
        <v>0.60000000000000009</v>
      </c>
      <c r="AA53" s="147" t="s">
        <v>424</v>
      </c>
      <c r="AB53" s="220"/>
      <c r="AC53" s="149"/>
    </row>
    <row r="54" spans="1:29" ht="12.75" customHeight="1">
      <c r="A54" s="153"/>
      <c r="B54" s="154"/>
      <c r="C54" s="155"/>
      <c r="D54" s="156"/>
      <c r="E54" s="156"/>
      <c r="F54" s="156"/>
      <c r="G54" s="156"/>
      <c r="H54" s="157"/>
      <c r="I54" s="155"/>
      <c r="J54" s="158"/>
      <c r="K54" s="157"/>
      <c r="L54" s="155"/>
      <c r="M54" s="158"/>
      <c r="N54" s="159"/>
      <c r="O54" s="176"/>
      <c r="P54" s="231">
        <v>31</v>
      </c>
      <c r="Q54" s="222" t="s">
        <v>304</v>
      </c>
      <c r="R54" s="172" t="s">
        <v>71</v>
      </c>
      <c r="S54" s="234" t="s">
        <v>500</v>
      </c>
      <c r="T54" s="234" t="s">
        <v>494</v>
      </c>
      <c r="U54" s="234" t="s">
        <v>495</v>
      </c>
      <c r="V54" s="137"/>
      <c r="W54" s="138">
        <v>430</v>
      </c>
      <c r="X54" s="139" t="s">
        <v>422</v>
      </c>
      <c r="Y54" s="218" t="s">
        <v>496</v>
      </c>
      <c r="Z54" s="138">
        <f>430*0.75</f>
        <v>322.5</v>
      </c>
      <c r="AA54" s="139" t="s">
        <v>422</v>
      </c>
      <c r="AB54" s="218" t="s">
        <v>496</v>
      </c>
      <c r="AC54" s="140" t="s">
        <v>418</v>
      </c>
    </row>
    <row r="55" spans="1:29" ht="12.75" customHeight="1">
      <c r="A55" s="160"/>
      <c r="B55" s="161"/>
      <c r="C55" s="162"/>
      <c r="D55" s="163"/>
      <c r="E55" s="163"/>
      <c r="F55" s="163"/>
      <c r="G55" s="163"/>
      <c r="H55" s="164"/>
      <c r="I55" s="162"/>
      <c r="J55" s="165"/>
      <c r="K55" s="164"/>
      <c r="L55" s="162"/>
      <c r="M55" s="165"/>
      <c r="N55" s="166"/>
      <c r="O55" s="176"/>
      <c r="P55" s="231"/>
      <c r="Q55" s="222"/>
      <c r="R55" s="144" t="s">
        <v>83</v>
      </c>
      <c r="S55" s="235"/>
      <c r="T55" s="235"/>
      <c r="U55" s="234"/>
      <c r="V55" s="137"/>
      <c r="W55" s="143">
        <v>13.099999999999998</v>
      </c>
      <c r="X55" s="144" t="s">
        <v>424</v>
      </c>
      <c r="Y55" s="219"/>
      <c r="Z55" s="143">
        <f>13.1*0.75</f>
        <v>9.8249999999999993</v>
      </c>
      <c r="AA55" s="144" t="s">
        <v>424</v>
      </c>
      <c r="AB55" s="219"/>
      <c r="AC55" s="146" t="s">
        <v>501</v>
      </c>
    </row>
    <row r="56" spans="1:29" ht="12.75" customHeight="1">
      <c r="A56" s="221" t="s">
        <v>502</v>
      </c>
      <c r="B56" s="221"/>
      <c r="C56" s="177" t="s">
        <v>503</v>
      </c>
      <c r="D56" s="223" t="s">
        <v>504</v>
      </c>
      <c r="E56" s="224"/>
      <c r="F56" s="224"/>
      <c r="G56" s="224"/>
      <c r="H56" s="224"/>
      <c r="I56" s="224"/>
      <c r="J56" s="224"/>
      <c r="K56" s="224"/>
      <c r="L56" s="224"/>
      <c r="M56" s="225"/>
      <c r="N56" s="178"/>
      <c r="O56" s="176"/>
      <c r="P56" s="231"/>
      <c r="Q56" s="222"/>
      <c r="R56" s="144" t="s">
        <v>238</v>
      </c>
      <c r="S56" s="235"/>
      <c r="T56" s="235"/>
      <c r="U56" s="234"/>
      <c r="V56" s="137"/>
      <c r="W56" s="143">
        <v>11.1</v>
      </c>
      <c r="X56" s="144" t="s">
        <v>424</v>
      </c>
      <c r="Y56" s="219"/>
      <c r="Z56" s="143">
        <f>11.1*0.75</f>
        <v>8.3249999999999993</v>
      </c>
      <c r="AA56" s="144" t="s">
        <v>424</v>
      </c>
      <c r="AB56" s="219"/>
      <c r="AC56" s="146" t="s">
        <v>461</v>
      </c>
    </row>
    <row r="57" spans="1:29" ht="12.75" customHeight="1">
      <c r="A57" s="222"/>
      <c r="B57" s="222"/>
      <c r="C57" s="179" t="s">
        <v>505</v>
      </c>
      <c r="D57" s="180" t="s">
        <v>506</v>
      </c>
      <c r="E57" s="180" t="s">
        <v>507</v>
      </c>
      <c r="F57" s="180" t="s">
        <v>508</v>
      </c>
      <c r="G57" s="180"/>
      <c r="J57" s="181"/>
      <c r="K57" s="226" t="s">
        <v>509</v>
      </c>
      <c r="L57" s="227"/>
      <c r="M57" s="180" t="s">
        <v>510</v>
      </c>
      <c r="N57" s="182"/>
      <c r="O57" s="176"/>
      <c r="P57" s="231"/>
      <c r="Q57" s="222"/>
      <c r="R57" s="144"/>
      <c r="S57" s="235"/>
      <c r="T57" s="235"/>
      <c r="U57" s="234"/>
      <c r="V57" s="137"/>
      <c r="W57" s="143">
        <v>66.899999999999991</v>
      </c>
      <c r="X57" s="144" t="s">
        <v>424</v>
      </c>
      <c r="Y57" s="219"/>
      <c r="Z57" s="143">
        <f>66.9*0.75</f>
        <v>50.175000000000004</v>
      </c>
      <c r="AA57" s="144" t="s">
        <v>424</v>
      </c>
      <c r="AB57" s="219"/>
      <c r="AC57" s="146"/>
    </row>
    <row r="58" spans="1:29" ht="12.75" customHeight="1">
      <c r="A58" s="183" t="s">
        <v>511</v>
      </c>
      <c r="B58" s="184" t="s">
        <v>512</v>
      </c>
      <c r="C58" s="179" t="s">
        <v>513</v>
      </c>
      <c r="D58" s="185">
        <f>11972/30</f>
        <v>399.06666666666666</v>
      </c>
      <c r="E58" s="186">
        <f>440.700000000001/30</f>
        <v>14.690000000000033</v>
      </c>
      <c r="F58" s="186">
        <f>334.8/30</f>
        <v>11.16</v>
      </c>
      <c r="G58" s="186"/>
      <c r="J58" s="187"/>
      <c r="K58" s="228">
        <f>1731.2/30</f>
        <v>57.706666666666671</v>
      </c>
      <c r="L58" s="229"/>
      <c r="M58" s="188">
        <f>34.7000000000001/30</f>
        <v>1.1566666666666701</v>
      </c>
      <c r="N58" s="182"/>
      <c r="O58" s="176"/>
      <c r="P58" s="232"/>
      <c r="Q58" s="233"/>
      <c r="R58" s="144"/>
      <c r="S58" s="236"/>
      <c r="T58" s="236"/>
      <c r="U58" s="237"/>
      <c r="V58" s="189"/>
      <c r="W58" s="143">
        <v>1.3000000000000003</v>
      </c>
      <c r="X58" s="144" t="s">
        <v>424</v>
      </c>
      <c r="Y58" s="219"/>
      <c r="Z58" s="143">
        <f>1.3*0.75</f>
        <v>0.97500000000000009</v>
      </c>
      <c r="AA58" s="144" t="s">
        <v>424</v>
      </c>
      <c r="AB58" s="220"/>
      <c r="AC58" s="149"/>
    </row>
    <row r="59" spans="1:29" ht="12.75" customHeight="1">
      <c r="A59" s="183" t="s">
        <v>514</v>
      </c>
      <c r="B59" s="184" t="s">
        <v>512</v>
      </c>
      <c r="C59" s="179" t="s">
        <v>515</v>
      </c>
      <c r="D59" s="185">
        <f>(11972*0.75)/30</f>
        <v>299.3</v>
      </c>
      <c r="E59" s="186">
        <f>(440.700000000001*0.75)/30</f>
        <v>11.017500000000025</v>
      </c>
      <c r="F59" s="186">
        <f>(334.8*0.75)/30</f>
        <v>8.370000000000001</v>
      </c>
      <c r="G59" s="186"/>
      <c r="J59" s="187"/>
      <c r="K59" s="228">
        <f>(1731.2*0.75)/30</f>
        <v>43.28</v>
      </c>
      <c r="L59" s="229"/>
      <c r="M59" s="188">
        <f>(34.7000000000001*0.75)/30</f>
        <v>0.8675000000000026</v>
      </c>
      <c r="N59" s="182"/>
      <c r="O59" s="190"/>
      <c r="P59" s="230" t="s">
        <v>516</v>
      </c>
      <c r="Q59" s="230"/>
      <c r="R59" s="230"/>
      <c r="S59" s="230"/>
      <c r="T59" s="230"/>
      <c r="U59" s="230"/>
      <c r="V59" s="230"/>
      <c r="W59" s="230"/>
      <c r="X59" s="230"/>
      <c r="Y59" s="230"/>
      <c r="Z59" s="230"/>
      <c r="AA59" s="230"/>
      <c r="AB59" s="191"/>
      <c r="AC59" s="192"/>
    </row>
    <row r="60" spans="1:29" ht="12.75" customHeight="1">
      <c r="A60" s="193"/>
      <c r="B60" s="194"/>
      <c r="C60" s="195"/>
      <c r="D60" s="196"/>
      <c r="E60" s="197"/>
      <c r="F60" s="197"/>
      <c r="G60" s="197"/>
      <c r="H60" s="198"/>
      <c r="I60" s="199"/>
      <c r="J60" s="200"/>
      <c r="K60" s="198"/>
      <c r="L60" s="199"/>
      <c r="N60" s="199"/>
      <c r="O60" s="190"/>
      <c r="P60" s="201" t="s">
        <v>517</v>
      </c>
      <c r="Q60" s="202"/>
      <c r="R60" s="203"/>
      <c r="S60" s="204"/>
      <c r="T60" s="204"/>
      <c r="U60" s="204"/>
      <c r="V60" s="205"/>
      <c r="W60" s="206"/>
      <c r="X60" s="203"/>
      <c r="Y60" s="207"/>
      <c r="Z60" s="206"/>
      <c r="AA60" s="203"/>
      <c r="AB60" s="191"/>
      <c r="AC60" s="207"/>
    </row>
    <row r="61" spans="1:29" ht="12.75" customHeight="1">
      <c r="I61" s="199"/>
      <c r="L61" s="199"/>
      <c r="M61" s="191"/>
      <c r="N61" s="191"/>
      <c r="O61" s="190"/>
      <c r="P61" s="208" t="s">
        <v>518</v>
      </c>
      <c r="Q61" s="202"/>
      <c r="R61" s="203"/>
      <c r="S61" s="204"/>
      <c r="T61" s="204"/>
      <c r="U61" s="204"/>
      <c r="V61" s="205"/>
      <c r="W61" s="206"/>
      <c r="X61" s="203"/>
      <c r="Y61" s="207"/>
      <c r="Z61" s="206"/>
      <c r="AA61" s="203"/>
      <c r="AC61" s="207"/>
    </row>
    <row r="62" spans="1:29" ht="12.75" customHeight="1">
      <c r="M62" s="191"/>
      <c r="N62" s="191"/>
      <c r="O62" s="190"/>
      <c r="P62" s="208" t="s">
        <v>519</v>
      </c>
      <c r="Q62" s="202"/>
      <c r="R62" s="203"/>
      <c r="S62" s="204"/>
      <c r="T62" s="204"/>
      <c r="U62" s="204"/>
      <c r="V62" s="205"/>
      <c r="W62" s="206"/>
      <c r="X62" s="203"/>
      <c r="Y62" s="207"/>
      <c r="Z62" s="206"/>
      <c r="AA62" s="203"/>
      <c r="AC62" s="207"/>
    </row>
    <row r="63" spans="1:29" ht="12.75" customHeight="1">
      <c r="O63" s="190"/>
      <c r="P63" s="208" t="s">
        <v>520</v>
      </c>
      <c r="Q63" s="202"/>
      <c r="R63" s="203"/>
      <c r="S63" s="204"/>
      <c r="T63" s="204"/>
      <c r="U63" s="204"/>
      <c r="V63" s="205"/>
      <c r="W63" s="206"/>
      <c r="X63" s="203"/>
      <c r="Y63" s="207"/>
      <c r="Z63" s="206"/>
      <c r="AA63" s="203"/>
      <c r="AC63" s="207"/>
    </row>
    <row r="64" spans="1:29" ht="12.75" customHeight="1">
      <c r="O64" s="190"/>
      <c r="P64" s="208" t="s">
        <v>521</v>
      </c>
      <c r="Q64" s="209"/>
    </row>
    <row r="65" spans="15:24" ht="12.75" customHeight="1">
      <c r="O65" s="190"/>
      <c r="P65" s="208" t="s">
        <v>522</v>
      </c>
      <c r="Q65" s="210"/>
      <c r="R65" s="211"/>
      <c r="S65" s="211"/>
      <c r="T65" s="211"/>
      <c r="U65" s="211"/>
      <c r="V65" s="211"/>
      <c r="W65" s="211"/>
      <c r="X65" s="211"/>
    </row>
    <row r="66" spans="15:24" ht="12.75" customHeight="1">
      <c r="O66" s="190"/>
      <c r="P66" s="208" t="s">
        <v>523</v>
      </c>
      <c r="Q66" s="212"/>
      <c r="R66" s="213"/>
      <c r="S66" s="214"/>
      <c r="T66" s="214"/>
      <c r="U66" s="214"/>
      <c r="V66" s="214"/>
    </row>
    <row r="67" spans="15:24" ht="12.75" customHeight="1">
      <c r="O67" s="190"/>
      <c r="Q67" s="216"/>
      <c r="R67" s="213"/>
      <c r="S67" s="214"/>
      <c r="T67" s="214"/>
      <c r="U67" s="214"/>
      <c r="V67" s="214"/>
    </row>
    <row r="68" spans="15:24" ht="12.75" customHeight="1">
      <c r="O68" s="190"/>
      <c r="Q68" s="217"/>
      <c r="R68" s="217"/>
      <c r="S68" s="217"/>
      <c r="T68" s="217"/>
      <c r="U68" s="217"/>
      <c r="V68" s="217"/>
    </row>
    <row r="69" spans="15:24" ht="12.75" customHeight="1">
      <c r="O69" s="190"/>
      <c r="Q69" s="217"/>
      <c r="R69" s="217"/>
      <c r="S69" s="217"/>
      <c r="T69" s="217"/>
      <c r="U69" s="217"/>
      <c r="V69" s="217"/>
    </row>
    <row r="70" spans="15:24" ht="12.75" customHeight="1">
      <c r="O70" s="190"/>
      <c r="T70" s="131"/>
    </row>
    <row r="71" spans="15:24" ht="12.75" customHeight="1">
      <c r="O71" s="190"/>
    </row>
    <row r="72" spans="15:24" ht="12.75" customHeight="1">
      <c r="O72" s="190"/>
    </row>
    <row r="73" spans="15:24" ht="12.75" customHeight="1">
      <c r="O73" s="190"/>
    </row>
    <row r="74" spans="15:24" ht="12.75" customHeight="1">
      <c r="O74" s="190"/>
    </row>
    <row r="75" spans="15:24" ht="12.75" customHeight="1">
      <c r="O75" s="190"/>
    </row>
    <row r="76" spans="15:24" ht="12.75" customHeight="1">
      <c r="O76" s="190"/>
    </row>
    <row r="77" spans="15:24" ht="12.75" customHeight="1">
      <c r="O77" s="190"/>
    </row>
    <row r="78" spans="15:24" ht="12.75" customHeight="1">
      <c r="O78" s="190"/>
    </row>
    <row r="79" spans="15:24" ht="12.75" customHeight="1">
      <c r="O79" s="190"/>
    </row>
    <row r="80" spans="15:24" ht="12.75" customHeight="1">
      <c r="O80" s="190"/>
    </row>
    <row r="81" spans="15:15" ht="12.75" customHeight="1">
      <c r="O81" s="190"/>
    </row>
    <row r="82" spans="15:15" ht="12.75" customHeight="1">
      <c r="O82" s="199"/>
    </row>
    <row r="83" spans="15:15" ht="12.75" customHeight="1">
      <c r="O83" s="200"/>
    </row>
    <row r="84" spans="15:15" ht="12.75" customHeight="1">
      <c r="O84" s="199"/>
    </row>
    <row r="85" spans="15:15" ht="12.75" customHeight="1">
      <c r="O85" s="199"/>
    </row>
    <row r="86" spans="15:15" ht="12.75" customHeight="1"/>
    <row r="87" spans="15:15" ht="12.75" customHeight="1">
      <c r="O87" s="191"/>
    </row>
    <row r="88" spans="15:15" ht="12.75" customHeight="1">
      <c r="O88" s="191"/>
    </row>
    <row r="89" spans="15:15" ht="12.75" customHeight="1"/>
    <row r="90" spans="15:15" ht="12.75" customHeight="1"/>
    <row r="91" spans="15:15" ht="12.75" customHeight="1"/>
    <row r="92" spans="15:15" ht="12.75" customHeight="1"/>
    <row r="93" spans="15:15" ht="12.75" customHeight="1"/>
  </sheetData>
  <mergeCells count="167">
    <mergeCell ref="R2:R6"/>
    <mergeCell ref="S2:U2"/>
    <mergeCell ref="W2:Y2"/>
    <mergeCell ref="Z2:AB2"/>
    <mergeCell ref="U3:V6"/>
    <mergeCell ref="W3:X6"/>
    <mergeCell ref="Y3:Y6"/>
    <mergeCell ref="Z3:AA6"/>
    <mergeCell ref="A2:A6"/>
    <mergeCell ref="B2:B6"/>
    <mergeCell ref="C2:C6"/>
    <mergeCell ref="D2:F2"/>
    <mergeCell ref="H2:J2"/>
    <mergeCell ref="K2:M2"/>
    <mergeCell ref="D3:D6"/>
    <mergeCell ref="E3:E6"/>
    <mergeCell ref="F3:G6"/>
    <mergeCell ref="H3:I6"/>
    <mergeCell ref="Q7:Q11"/>
    <mergeCell ref="S7:S11"/>
    <mergeCell ref="T7:T11"/>
    <mergeCell ref="U7:U11"/>
    <mergeCell ref="Y7:Y11"/>
    <mergeCell ref="AB7:AB11"/>
    <mergeCell ref="AB3:AB6"/>
    <mergeCell ref="AC3:AC6"/>
    <mergeCell ref="A7:A11"/>
    <mergeCell ref="B7:B11"/>
    <mergeCell ref="D7:D11"/>
    <mergeCell ref="E7:E11"/>
    <mergeCell ref="F7:F11"/>
    <mergeCell ref="J7:J11"/>
    <mergeCell ref="M7:M11"/>
    <mergeCell ref="P7:P11"/>
    <mergeCell ref="J3:J6"/>
    <mergeCell ref="K3:L6"/>
    <mergeCell ref="M3:M6"/>
    <mergeCell ref="N3:N6"/>
    <mergeCell ref="S3:S6"/>
    <mergeCell ref="T3:T6"/>
    <mergeCell ref="P2:P6"/>
    <mergeCell ref="Q2:Q6"/>
    <mergeCell ref="AB17:AB21"/>
    <mergeCell ref="Y12:Y16"/>
    <mergeCell ref="AB12:AB16"/>
    <mergeCell ref="A17:A21"/>
    <mergeCell ref="B17:B21"/>
    <mergeCell ref="D17:D21"/>
    <mergeCell ref="E17:E21"/>
    <mergeCell ref="F17:F21"/>
    <mergeCell ref="J17:J21"/>
    <mergeCell ref="M17:M21"/>
    <mergeCell ref="P17:P21"/>
    <mergeCell ref="M12:M16"/>
    <mergeCell ref="P12:P16"/>
    <mergeCell ref="Q12:Q16"/>
    <mergeCell ref="S12:S16"/>
    <mergeCell ref="T12:T16"/>
    <mergeCell ref="U12:U16"/>
    <mergeCell ref="A12:A16"/>
    <mergeCell ref="B12:B16"/>
    <mergeCell ref="D12:D16"/>
    <mergeCell ref="E12:E16"/>
    <mergeCell ref="F12:F16"/>
    <mergeCell ref="J12:J16"/>
    <mergeCell ref="D22:D26"/>
    <mergeCell ref="E22:E26"/>
    <mergeCell ref="F22:F26"/>
    <mergeCell ref="J22:J26"/>
    <mergeCell ref="Q17:Q21"/>
    <mergeCell ref="S17:S21"/>
    <mergeCell ref="T17:T21"/>
    <mergeCell ref="U17:U21"/>
    <mergeCell ref="Y17:Y21"/>
    <mergeCell ref="Q27:Q31"/>
    <mergeCell ref="S27:S31"/>
    <mergeCell ref="T27:T31"/>
    <mergeCell ref="U27:U31"/>
    <mergeCell ref="Y27:Y31"/>
    <mergeCell ref="AB27:AB31"/>
    <mergeCell ref="Y22:Y26"/>
    <mergeCell ref="AB22:AB26"/>
    <mergeCell ref="A27:A31"/>
    <mergeCell ref="B27:B31"/>
    <mergeCell ref="D27:D31"/>
    <mergeCell ref="E27:E31"/>
    <mergeCell ref="F27:F31"/>
    <mergeCell ref="J27:J31"/>
    <mergeCell ref="M27:M31"/>
    <mergeCell ref="P27:P31"/>
    <mergeCell ref="M22:M26"/>
    <mergeCell ref="P22:P26"/>
    <mergeCell ref="Q22:Q26"/>
    <mergeCell ref="S22:S26"/>
    <mergeCell ref="T22:T26"/>
    <mergeCell ref="U22:U26"/>
    <mergeCell ref="A22:A26"/>
    <mergeCell ref="B22:B26"/>
    <mergeCell ref="AB39:AB43"/>
    <mergeCell ref="Y34:Y38"/>
    <mergeCell ref="AB34:AB38"/>
    <mergeCell ref="A39:A43"/>
    <mergeCell ref="B39:B43"/>
    <mergeCell ref="D39:D43"/>
    <mergeCell ref="E39:E43"/>
    <mergeCell ref="F39:F43"/>
    <mergeCell ref="J39:J43"/>
    <mergeCell ref="M39:M43"/>
    <mergeCell ref="P39:P43"/>
    <mergeCell ref="M34:M38"/>
    <mergeCell ref="P34:P38"/>
    <mergeCell ref="Q34:Q38"/>
    <mergeCell ref="S34:S38"/>
    <mergeCell ref="T34:T38"/>
    <mergeCell ref="U34:U38"/>
    <mergeCell ref="A34:A38"/>
    <mergeCell ref="B34:B38"/>
    <mergeCell ref="D34:D38"/>
    <mergeCell ref="E34:E38"/>
    <mergeCell ref="F34:F38"/>
    <mergeCell ref="J34:J38"/>
    <mergeCell ref="D44:D48"/>
    <mergeCell ref="E44:E48"/>
    <mergeCell ref="F44:F48"/>
    <mergeCell ref="J44:J48"/>
    <mergeCell ref="Q39:Q43"/>
    <mergeCell ref="S39:S43"/>
    <mergeCell ref="T39:T43"/>
    <mergeCell ref="U39:U43"/>
    <mergeCell ref="Y39:Y43"/>
    <mergeCell ref="Q49:Q53"/>
    <mergeCell ref="S49:S53"/>
    <mergeCell ref="T49:T53"/>
    <mergeCell ref="U49:U53"/>
    <mergeCell ref="Y49:Y53"/>
    <mergeCell ref="AB49:AB53"/>
    <mergeCell ref="Y44:Y48"/>
    <mergeCell ref="AB44:AB48"/>
    <mergeCell ref="A49:A53"/>
    <mergeCell ref="B49:B53"/>
    <mergeCell ref="D49:D53"/>
    <mergeCell ref="E49:E53"/>
    <mergeCell ref="F49:F53"/>
    <mergeCell ref="J49:J53"/>
    <mergeCell ref="M49:M53"/>
    <mergeCell ref="P49:P53"/>
    <mergeCell ref="M44:M48"/>
    <mergeCell ref="P44:P48"/>
    <mergeCell ref="Q44:Q48"/>
    <mergeCell ref="S44:S48"/>
    <mergeCell ref="T44:T48"/>
    <mergeCell ref="U44:U48"/>
    <mergeCell ref="A44:A48"/>
    <mergeCell ref="B44:B48"/>
    <mergeCell ref="AB54:AB58"/>
    <mergeCell ref="A56:B57"/>
    <mergeCell ref="D56:M56"/>
    <mergeCell ref="K57:L57"/>
    <mergeCell ref="K58:L58"/>
    <mergeCell ref="K59:L59"/>
    <mergeCell ref="P59:AA59"/>
    <mergeCell ref="P54:P58"/>
    <mergeCell ref="Q54:Q58"/>
    <mergeCell ref="S54:S58"/>
    <mergeCell ref="T54:T58"/>
    <mergeCell ref="U54:U58"/>
    <mergeCell ref="Y54:Y58"/>
  </mergeCells>
  <phoneticPr fontId="21"/>
  <printOptions horizontalCentered="1" verticalCentered="1"/>
  <pageMargins left="0.39370078740157483" right="0.39370078740157483" top="0.39370078740157483" bottom="0.39370078740157483" header="0" footer="0"/>
  <pageSetup paperSize="12"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228</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3.1"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3.1" customHeight="1">
      <c r="A6" s="333"/>
      <c r="B6" s="61"/>
      <c r="C6" s="42"/>
      <c r="D6" s="43"/>
      <c r="E6" s="44"/>
      <c r="F6" s="45"/>
      <c r="G6" s="65"/>
      <c r="H6" s="69"/>
      <c r="I6" s="43"/>
      <c r="J6" s="45"/>
      <c r="K6" s="45"/>
      <c r="L6" s="45"/>
      <c r="M6" s="73"/>
      <c r="N6" s="61"/>
      <c r="O6" s="46"/>
      <c r="P6" s="43"/>
      <c r="Q6" s="47"/>
      <c r="R6" s="84"/>
    </row>
    <row r="7" spans="1:19" ht="23.1" customHeight="1">
      <c r="A7" s="333"/>
      <c r="B7" s="62" t="s">
        <v>14</v>
      </c>
      <c r="C7" s="48" t="s">
        <v>19</v>
      </c>
      <c r="D7" s="49"/>
      <c r="E7" s="50">
        <v>1</v>
      </c>
      <c r="F7" s="51" t="s">
        <v>21</v>
      </c>
      <c r="G7" s="66" t="s">
        <v>20</v>
      </c>
      <c r="H7" s="70" t="s">
        <v>19</v>
      </c>
      <c r="I7" s="49"/>
      <c r="J7" s="51">
        <f>ROUNDUP(E7*0.75,2)</f>
        <v>0.75</v>
      </c>
      <c r="K7" s="51" t="s">
        <v>21</v>
      </c>
      <c r="L7" s="51" t="s">
        <v>20</v>
      </c>
      <c r="M7" s="74" t="e">
        <f>#REF!</f>
        <v>#REF!</v>
      </c>
      <c r="N7" s="62" t="s">
        <v>15</v>
      </c>
      <c r="O7" s="52" t="s">
        <v>22</v>
      </c>
      <c r="P7" s="49" t="s">
        <v>23</v>
      </c>
      <c r="Q7" s="53">
        <v>3</v>
      </c>
      <c r="R7" s="85">
        <f t="shared" ref="R7:R15" si="0">ROUNDUP(Q7*0.75,2)</f>
        <v>2.25</v>
      </c>
    </row>
    <row r="8" spans="1:19" ht="23.1" customHeight="1">
      <c r="A8" s="333"/>
      <c r="B8" s="62"/>
      <c r="C8" s="48" t="s">
        <v>152</v>
      </c>
      <c r="D8" s="49"/>
      <c r="E8" s="50">
        <v>20</v>
      </c>
      <c r="F8" s="51" t="s">
        <v>34</v>
      </c>
      <c r="G8" s="66"/>
      <c r="H8" s="70" t="s">
        <v>152</v>
      </c>
      <c r="I8" s="49"/>
      <c r="J8" s="51">
        <f>ROUNDUP(E8*0.75,2)</f>
        <v>15</v>
      </c>
      <c r="K8" s="51" t="s">
        <v>34</v>
      </c>
      <c r="L8" s="51"/>
      <c r="M8" s="74" t="e">
        <f>ROUND(#REF!+(#REF!*15/100),2)</f>
        <v>#REF!</v>
      </c>
      <c r="N8" s="62" t="s">
        <v>16</v>
      </c>
      <c r="O8" s="52" t="s">
        <v>24</v>
      </c>
      <c r="P8" s="49"/>
      <c r="Q8" s="53">
        <v>1</v>
      </c>
      <c r="R8" s="85">
        <f t="shared" si="0"/>
        <v>0.75</v>
      </c>
    </row>
    <row r="9" spans="1:19" ht="23.1" customHeight="1">
      <c r="A9" s="333"/>
      <c r="B9" s="62"/>
      <c r="C9" s="48"/>
      <c r="D9" s="49"/>
      <c r="E9" s="50"/>
      <c r="F9" s="51"/>
      <c r="G9" s="66"/>
      <c r="H9" s="70"/>
      <c r="I9" s="49"/>
      <c r="J9" s="51"/>
      <c r="K9" s="51"/>
      <c r="L9" s="51"/>
      <c r="M9" s="74"/>
      <c r="N9" s="62" t="s">
        <v>17</v>
      </c>
      <c r="O9" s="52" t="s">
        <v>25</v>
      </c>
      <c r="P9" s="49" t="s">
        <v>26</v>
      </c>
      <c r="Q9" s="53">
        <v>1</v>
      </c>
      <c r="R9" s="85">
        <f t="shared" si="0"/>
        <v>0.75</v>
      </c>
    </row>
    <row r="10" spans="1:19" ht="23.1" customHeight="1">
      <c r="A10" s="333"/>
      <c r="B10" s="62"/>
      <c r="C10" s="48"/>
      <c r="D10" s="49"/>
      <c r="E10" s="50"/>
      <c r="F10" s="51"/>
      <c r="G10" s="66"/>
      <c r="H10" s="70"/>
      <c r="I10" s="49"/>
      <c r="J10" s="51"/>
      <c r="K10" s="51"/>
      <c r="L10" s="51"/>
      <c r="M10" s="74"/>
      <c r="N10" s="62" t="s">
        <v>229</v>
      </c>
      <c r="O10" s="52" t="s">
        <v>27</v>
      </c>
      <c r="P10" s="49"/>
      <c r="Q10" s="53">
        <v>0.5</v>
      </c>
      <c r="R10" s="85">
        <f t="shared" si="0"/>
        <v>0.38</v>
      </c>
    </row>
    <row r="11" spans="1:19" ht="23.1" customHeight="1">
      <c r="A11" s="333"/>
      <c r="B11" s="62"/>
      <c r="C11" s="48"/>
      <c r="D11" s="49"/>
      <c r="E11" s="50"/>
      <c r="F11" s="51"/>
      <c r="G11" s="66"/>
      <c r="H11" s="70"/>
      <c r="I11" s="49"/>
      <c r="J11" s="51"/>
      <c r="K11" s="51"/>
      <c r="L11" s="51"/>
      <c r="M11" s="74"/>
      <c r="N11" s="62" t="s">
        <v>18</v>
      </c>
      <c r="O11" s="52" t="s">
        <v>28</v>
      </c>
      <c r="P11" s="49"/>
      <c r="Q11" s="53">
        <v>1</v>
      </c>
      <c r="R11" s="85">
        <f t="shared" si="0"/>
        <v>0.75</v>
      </c>
    </row>
    <row r="12" spans="1:19" ht="23.1" customHeight="1">
      <c r="A12" s="333"/>
      <c r="B12" s="62"/>
      <c r="C12" s="48"/>
      <c r="D12" s="49"/>
      <c r="E12" s="50"/>
      <c r="F12" s="51"/>
      <c r="G12" s="66"/>
      <c r="H12" s="70"/>
      <c r="I12" s="49"/>
      <c r="J12" s="51"/>
      <c r="K12" s="51"/>
      <c r="L12" s="51"/>
      <c r="M12" s="74"/>
      <c r="N12" s="62"/>
      <c r="O12" s="52" t="s">
        <v>29</v>
      </c>
      <c r="P12" s="49"/>
      <c r="Q12" s="53">
        <v>1</v>
      </c>
      <c r="R12" s="85">
        <f t="shared" si="0"/>
        <v>0.75</v>
      </c>
    </row>
    <row r="13" spans="1:19" ht="23.1" customHeight="1">
      <c r="A13" s="333"/>
      <c r="B13" s="62"/>
      <c r="C13" s="48"/>
      <c r="D13" s="49"/>
      <c r="E13" s="50"/>
      <c r="F13" s="51"/>
      <c r="G13" s="66"/>
      <c r="H13" s="70"/>
      <c r="I13" s="49"/>
      <c r="J13" s="51"/>
      <c r="K13" s="51"/>
      <c r="L13" s="51"/>
      <c r="M13" s="74"/>
      <c r="N13" s="62"/>
      <c r="O13" s="52" t="s">
        <v>30</v>
      </c>
      <c r="P13" s="49" t="s">
        <v>31</v>
      </c>
      <c r="Q13" s="53">
        <v>2</v>
      </c>
      <c r="R13" s="85">
        <f t="shared" si="0"/>
        <v>1.5</v>
      </c>
    </row>
    <row r="14" spans="1:19" ht="23.1" customHeight="1">
      <c r="A14" s="333"/>
      <c r="B14" s="62"/>
      <c r="C14" s="48"/>
      <c r="D14" s="49"/>
      <c r="E14" s="50"/>
      <c r="F14" s="51"/>
      <c r="G14" s="66"/>
      <c r="H14" s="70"/>
      <c r="I14" s="49"/>
      <c r="J14" s="51"/>
      <c r="K14" s="51"/>
      <c r="L14" s="51"/>
      <c r="M14" s="74"/>
      <c r="N14" s="62"/>
      <c r="O14" s="52" t="s">
        <v>35</v>
      </c>
      <c r="P14" s="49" t="s">
        <v>23</v>
      </c>
      <c r="Q14" s="53">
        <v>0.5</v>
      </c>
      <c r="R14" s="85">
        <f t="shared" si="0"/>
        <v>0.38</v>
      </c>
    </row>
    <row r="15" spans="1:19" ht="23.1" customHeight="1">
      <c r="A15" s="333"/>
      <c r="B15" s="62"/>
      <c r="C15" s="48"/>
      <c r="D15" s="49"/>
      <c r="E15" s="50"/>
      <c r="F15" s="51"/>
      <c r="G15" s="66"/>
      <c r="H15" s="70"/>
      <c r="I15" s="49"/>
      <c r="J15" s="51"/>
      <c r="K15" s="51"/>
      <c r="L15" s="51"/>
      <c r="M15" s="74"/>
      <c r="N15" s="62"/>
      <c r="O15" s="52" t="s">
        <v>36</v>
      </c>
      <c r="P15" s="49"/>
      <c r="Q15" s="53">
        <v>1</v>
      </c>
      <c r="R15" s="85">
        <f t="shared" si="0"/>
        <v>0.75</v>
      </c>
    </row>
    <row r="16" spans="1:19" ht="23.1" customHeight="1">
      <c r="A16" s="333"/>
      <c r="B16" s="61"/>
      <c r="C16" s="42"/>
      <c r="D16" s="43"/>
      <c r="E16" s="44"/>
      <c r="F16" s="45"/>
      <c r="G16" s="65"/>
      <c r="H16" s="69"/>
      <c r="I16" s="43"/>
      <c r="J16" s="45"/>
      <c r="K16" s="45"/>
      <c r="L16" s="45"/>
      <c r="M16" s="73"/>
      <c r="N16" s="61"/>
      <c r="O16" s="46"/>
      <c r="P16" s="43"/>
      <c r="Q16" s="47"/>
      <c r="R16" s="84"/>
    </row>
    <row r="17" spans="1:18" ht="23.1" customHeight="1">
      <c r="A17" s="333"/>
      <c r="B17" s="62" t="s">
        <v>37</v>
      </c>
      <c r="C17" s="48" t="s">
        <v>231</v>
      </c>
      <c r="D17" s="49"/>
      <c r="E17" s="79">
        <v>0.125</v>
      </c>
      <c r="F17" s="51" t="s">
        <v>59</v>
      </c>
      <c r="G17" s="66" t="s">
        <v>53</v>
      </c>
      <c r="H17" s="70" t="s">
        <v>231</v>
      </c>
      <c r="I17" s="49"/>
      <c r="J17" s="51">
        <f>ROUNDUP(E17*0.75,2)</f>
        <v>9.9999999999999992E-2</v>
      </c>
      <c r="K17" s="51" t="s">
        <v>59</v>
      </c>
      <c r="L17" s="51" t="s">
        <v>53</v>
      </c>
      <c r="M17" s="74" t="e">
        <f>#REF!</f>
        <v>#REF!</v>
      </c>
      <c r="N17" s="62" t="s">
        <v>38</v>
      </c>
      <c r="O17" s="52" t="s">
        <v>44</v>
      </c>
      <c r="P17" s="49"/>
      <c r="Q17" s="53">
        <v>2</v>
      </c>
      <c r="R17" s="85">
        <f>ROUNDUP(Q17*0.75,2)</f>
        <v>1.5</v>
      </c>
    </row>
    <row r="18" spans="1:18" ht="23.1" customHeight="1">
      <c r="A18" s="333"/>
      <c r="B18" s="62"/>
      <c r="C18" s="48" t="s">
        <v>135</v>
      </c>
      <c r="D18" s="49"/>
      <c r="E18" s="50">
        <v>30</v>
      </c>
      <c r="F18" s="51" t="s">
        <v>34</v>
      </c>
      <c r="G18" s="66"/>
      <c r="H18" s="70" t="s">
        <v>135</v>
      </c>
      <c r="I18" s="49"/>
      <c r="J18" s="51">
        <f>ROUNDUP(E18*0.75,2)</f>
        <v>22.5</v>
      </c>
      <c r="K18" s="51" t="s">
        <v>34</v>
      </c>
      <c r="L18" s="51"/>
      <c r="M18" s="74" t="e">
        <f>ROUND(#REF!+(#REF!*6/100),2)</f>
        <v>#REF!</v>
      </c>
      <c r="N18" s="62" t="s">
        <v>230</v>
      </c>
      <c r="O18" s="52" t="s">
        <v>45</v>
      </c>
      <c r="P18" s="49"/>
      <c r="Q18" s="53">
        <v>0.2</v>
      </c>
      <c r="R18" s="85">
        <f>ROUNDUP(Q18*0.75,2)</f>
        <v>0.15</v>
      </c>
    </row>
    <row r="19" spans="1:18" ht="23.1" customHeight="1">
      <c r="A19" s="333"/>
      <c r="B19" s="62"/>
      <c r="C19" s="48" t="s">
        <v>288</v>
      </c>
      <c r="D19" s="49"/>
      <c r="E19" s="50">
        <v>5</v>
      </c>
      <c r="F19" s="51" t="s">
        <v>34</v>
      </c>
      <c r="G19" s="66"/>
      <c r="H19" s="48" t="s">
        <v>288</v>
      </c>
      <c r="I19" s="49"/>
      <c r="J19" s="51">
        <f>ROUNDUP(E19*0.75,2)</f>
        <v>3.75</v>
      </c>
      <c r="K19" s="51" t="s">
        <v>34</v>
      </c>
      <c r="L19" s="51"/>
      <c r="M19" s="74"/>
      <c r="N19" s="62" t="s">
        <v>18</v>
      </c>
      <c r="O19" s="52" t="s">
        <v>46</v>
      </c>
      <c r="P19" s="49"/>
      <c r="Q19" s="53">
        <v>0.01</v>
      </c>
      <c r="R19" s="85">
        <f>ROUNDUP(Q19*0.75,2)</f>
        <v>0.01</v>
      </c>
    </row>
    <row r="20" spans="1:18" ht="23.1" customHeight="1">
      <c r="A20" s="333"/>
      <c r="B20" s="62"/>
      <c r="C20" s="48" t="s">
        <v>232</v>
      </c>
      <c r="D20" s="49"/>
      <c r="E20" s="50">
        <v>2</v>
      </c>
      <c r="F20" s="51" t="s">
        <v>34</v>
      </c>
      <c r="G20" s="66"/>
      <c r="H20" s="70" t="s">
        <v>232</v>
      </c>
      <c r="I20" s="49"/>
      <c r="J20" s="51">
        <f>ROUNDUP(E20*0.75,2)</f>
        <v>1.5</v>
      </c>
      <c r="K20" s="51" t="s">
        <v>34</v>
      </c>
      <c r="L20" s="51"/>
      <c r="M20" s="74" t="e">
        <f>ROUND(#REF!+(#REF!*10/100),2)</f>
        <v>#REF!</v>
      </c>
      <c r="N20" s="62"/>
      <c r="O20" s="52"/>
      <c r="P20" s="49"/>
      <c r="Q20" s="53"/>
      <c r="R20" s="85"/>
    </row>
    <row r="21" spans="1:18" ht="23.1" customHeight="1">
      <c r="A21" s="333"/>
      <c r="B21" s="61"/>
      <c r="C21" s="42"/>
      <c r="D21" s="43"/>
      <c r="E21" s="44"/>
      <c r="F21" s="45"/>
      <c r="G21" s="65"/>
      <c r="H21" s="69"/>
      <c r="I21" s="43"/>
      <c r="J21" s="45"/>
      <c r="K21" s="45"/>
      <c r="L21" s="45"/>
      <c r="M21" s="73"/>
      <c r="N21" s="61"/>
      <c r="O21" s="46"/>
      <c r="P21" s="43"/>
      <c r="Q21" s="47"/>
      <c r="R21" s="84"/>
    </row>
    <row r="22" spans="1:18" ht="23.1" customHeight="1">
      <c r="A22" s="333"/>
      <c r="B22" s="62" t="s">
        <v>47</v>
      </c>
      <c r="C22" s="48" t="s">
        <v>48</v>
      </c>
      <c r="D22" s="49"/>
      <c r="E22" s="50">
        <v>0.5</v>
      </c>
      <c r="F22" s="51" t="s">
        <v>34</v>
      </c>
      <c r="G22" s="66" t="s">
        <v>49</v>
      </c>
      <c r="H22" s="70" t="s">
        <v>48</v>
      </c>
      <c r="I22" s="49"/>
      <c r="J22" s="51">
        <f>ROUNDUP(E22*0.75,2)</f>
        <v>0.38</v>
      </c>
      <c r="K22" s="51" t="s">
        <v>34</v>
      </c>
      <c r="L22" s="51" t="s">
        <v>49</v>
      </c>
      <c r="M22" s="74" t="e">
        <f>#REF!</f>
        <v>#REF!</v>
      </c>
      <c r="N22" s="62" t="s">
        <v>18</v>
      </c>
      <c r="O22" s="52" t="s">
        <v>36</v>
      </c>
      <c r="P22" s="49"/>
      <c r="Q22" s="53">
        <v>100</v>
      </c>
      <c r="R22" s="85">
        <f>ROUNDUP(Q22*0.75,2)</f>
        <v>75</v>
      </c>
    </row>
    <row r="23" spans="1:18" ht="23.1" customHeight="1">
      <c r="A23" s="333"/>
      <c r="B23" s="62"/>
      <c r="C23" s="48" t="s">
        <v>149</v>
      </c>
      <c r="D23" s="49"/>
      <c r="E23" s="50">
        <v>20</v>
      </c>
      <c r="F23" s="51" t="s">
        <v>34</v>
      </c>
      <c r="G23" s="66"/>
      <c r="H23" s="70" t="s">
        <v>149</v>
      </c>
      <c r="I23" s="49"/>
      <c r="J23" s="51">
        <f>ROUNDUP(E23*0.75,2)</f>
        <v>15</v>
      </c>
      <c r="K23" s="51" t="s">
        <v>34</v>
      </c>
      <c r="L23" s="51"/>
      <c r="M23" s="74" t="e">
        <f>ROUND(#REF!+(#REF!*15/100),2)</f>
        <v>#REF!</v>
      </c>
      <c r="N23" s="62"/>
      <c r="O23" s="52" t="s">
        <v>45</v>
      </c>
      <c r="P23" s="49"/>
      <c r="Q23" s="53">
        <v>0.1</v>
      </c>
      <c r="R23" s="85">
        <f>ROUNDUP(Q23*0.75,2)</f>
        <v>0.08</v>
      </c>
    </row>
    <row r="24" spans="1:18" ht="23.1" customHeight="1">
      <c r="A24" s="333"/>
      <c r="B24" s="62"/>
      <c r="C24" s="48"/>
      <c r="D24" s="49"/>
      <c r="E24" s="50"/>
      <c r="F24" s="51"/>
      <c r="G24" s="66"/>
      <c r="H24" s="70"/>
      <c r="I24" s="49"/>
      <c r="J24" s="51"/>
      <c r="K24" s="51"/>
      <c r="L24" s="51"/>
      <c r="M24" s="74"/>
      <c r="N24" s="62"/>
      <c r="O24" s="52" t="s">
        <v>35</v>
      </c>
      <c r="P24" s="49" t="s">
        <v>23</v>
      </c>
      <c r="Q24" s="53">
        <v>0.5</v>
      </c>
      <c r="R24" s="85">
        <f>ROUNDUP(Q24*0.75,2)</f>
        <v>0.38</v>
      </c>
    </row>
    <row r="25" spans="1:18" ht="23.1" customHeight="1">
      <c r="A25" s="333"/>
      <c r="B25" s="61"/>
      <c r="C25" s="42"/>
      <c r="D25" s="43"/>
      <c r="E25" s="44"/>
      <c r="F25" s="45"/>
      <c r="G25" s="65"/>
      <c r="H25" s="69"/>
      <c r="I25" s="43"/>
      <c r="J25" s="45"/>
      <c r="K25" s="45"/>
      <c r="L25" s="45"/>
      <c r="M25" s="73"/>
      <c r="N25" s="61"/>
      <c r="O25" s="46"/>
      <c r="P25" s="43"/>
      <c r="Q25" s="47"/>
      <c r="R25" s="84"/>
    </row>
    <row r="26" spans="1:18" ht="23.1" customHeight="1">
      <c r="A26" s="333"/>
      <c r="B26" s="62" t="s">
        <v>153</v>
      </c>
      <c r="C26" s="48" t="s">
        <v>154</v>
      </c>
      <c r="D26" s="49"/>
      <c r="E26" s="76">
        <v>0.25</v>
      </c>
      <c r="F26" s="51" t="s">
        <v>40</v>
      </c>
      <c r="G26" s="66"/>
      <c r="H26" s="70" t="s">
        <v>154</v>
      </c>
      <c r="I26" s="49"/>
      <c r="J26" s="51">
        <f>ROUNDUP(E26*0.75,2)</f>
        <v>0.19</v>
      </c>
      <c r="K26" s="51" t="s">
        <v>40</v>
      </c>
      <c r="L26" s="51"/>
      <c r="M26" s="74" t="e">
        <f>#REF!</f>
        <v>#REF!</v>
      </c>
      <c r="N26" s="62" t="s">
        <v>146</v>
      </c>
      <c r="O26" s="52"/>
      <c r="P26" s="49"/>
      <c r="Q26" s="53"/>
      <c r="R26" s="85"/>
    </row>
    <row r="27" spans="1:18" ht="23.1" customHeight="1" thickBot="1">
      <c r="A27" s="334"/>
      <c r="B27" s="63"/>
      <c r="C27" s="54"/>
      <c r="D27" s="55"/>
      <c r="E27" s="56"/>
      <c r="F27" s="57"/>
      <c r="G27" s="67"/>
      <c r="H27" s="71"/>
      <c r="I27" s="55"/>
      <c r="J27" s="57"/>
      <c r="K27" s="57"/>
      <c r="L27" s="57"/>
      <c r="M27" s="75"/>
      <c r="N27" s="63"/>
      <c r="O27" s="58"/>
      <c r="P27" s="55"/>
      <c r="Q27" s="59"/>
      <c r="R27" s="86"/>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236</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71</v>
      </c>
      <c r="C5" s="36" t="s">
        <v>63</v>
      </c>
      <c r="D5" s="37"/>
      <c r="E5" s="38">
        <v>30</v>
      </c>
      <c r="F5" s="39" t="s">
        <v>34</v>
      </c>
      <c r="G5" s="64" t="s">
        <v>58</v>
      </c>
      <c r="H5" s="68" t="s">
        <v>63</v>
      </c>
      <c r="I5" s="37"/>
      <c r="J5" s="39">
        <f>ROUNDUP(E5*0.75,2)</f>
        <v>22.5</v>
      </c>
      <c r="K5" s="39" t="s">
        <v>34</v>
      </c>
      <c r="L5" s="39" t="s">
        <v>58</v>
      </c>
      <c r="M5" s="72" t="e">
        <f>#REF!</f>
        <v>#REF!</v>
      </c>
      <c r="N5" s="60" t="s">
        <v>72</v>
      </c>
      <c r="O5" s="40" t="s">
        <v>13</v>
      </c>
      <c r="P5" s="37"/>
      <c r="Q5" s="41">
        <v>110</v>
      </c>
      <c r="R5" s="83">
        <f>ROUNDUP(Q5*0.75,2)</f>
        <v>82.5</v>
      </c>
    </row>
    <row r="6" spans="1:19" ht="24.95" customHeight="1">
      <c r="A6" s="333"/>
      <c r="B6" s="62"/>
      <c r="C6" s="48" t="s">
        <v>135</v>
      </c>
      <c r="D6" s="49"/>
      <c r="E6" s="50">
        <v>50</v>
      </c>
      <c r="F6" s="51" t="s">
        <v>34</v>
      </c>
      <c r="G6" s="66"/>
      <c r="H6" s="70" t="s">
        <v>135</v>
      </c>
      <c r="I6" s="49"/>
      <c r="J6" s="51">
        <f>ROUNDUP(E6*0.75,2)</f>
        <v>37.5</v>
      </c>
      <c r="K6" s="51" t="s">
        <v>34</v>
      </c>
      <c r="L6" s="51"/>
      <c r="M6" s="74" t="e">
        <f>ROUND(#REF!+(#REF!*6/100),2)</f>
        <v>#REF!</v>
      </c>
      <c r="N6" s="62" t="s">
        <v>73</v>
      </c>
      <c r="O6" s="52" t="s">
        <v>66</v>
      </c>
      <c r="P6" s="49"/>
      <c r="Q6" s="53">
        <v>0.5</v>
      </c>
      <c r="R6" s="85">
        <f>ROUNDUP(Q6*0.75,2)</f>
        <v>0.38</v>
      </c>
    </row>
    <row r="7" spans="1:19" ht="24.95" customHeight="1">
      <c r="A7" s="333"/>
      <c r="B7" s="62"/>
      <c r="C7" s="48" t="s">
        <v>78</v>
      </c>
      <c r="D7" s="49"/>
      <c r="E7" s="50">
        <v>50</v>
      </c>
      <c r="F7" s="51" t="s">
        <v>34</v>
      </c>
      <c r="G7" s="66"/>
      <c r="H7" s="70" t="s">
        <v>78</v>
      </c>
      <c r="I7" s="49"/>
      <c r="J7" s="51">
        <f>ROUNDUP(E7*0.75,2)</f>
        <v>37.5</v>
      </c>
      <c r="K7" s="51" t="s">
        <v>34</v>
      </c>
      <c r="L7" s="51"/>
      <c r="M7" s="74" t="e">
        <f>#REF!</f>
        <v>#REF!</v>
      </c>
      <c r="N7" s="62" t="s">
        <v>74</v>
      </c>
      <c r="O7" s="52" t="s">
        <v>24</v>
      </c>
      <c r="P7" s="49"/>
      <c r="Q7" s="53">
        <v>1</v>
      </c>
      <c r="R7" s="85">
        <f>ROUNDUP(Q7*0.75,2)</f>
        <v>0.75</v>
      </c>
    </row>
    <row r="8" spans="1:19" ht="24.95" customHeight="1">
      <c r="A8" s="333"/>
      <c r="B8" s="62"/>
      <c r="C8" s="48" t="s">
        <v>80</v>
      </c>
      <c r="D8" s="49" t="s">
        <v>82</v>
      </c>
      <c r="E8" s="50">
        <v>10</v>
      </c>
      <c r="F8" s="51" t="s">
        <v>34</v>
      </c>
      <c r="G8" s="66"/>
      <c r="H8" s="70" t="s">
        <v>80</v>
      </c>
      <c r="I8" s="49" t="s">
        <v>81</v>
      </c>
      <c r="J8" s="51">
        <f>ROUNDUP(E8*0.75,2)</f>
        <v>7.5</v>
      </c>
      <c r="K8" s="51" t="s">
        <v>34</v>
      </c>
      <c r="L8" s="51"/>
      <c r="M8" s="74" t="e">
        <f>#REF!</f>
        <v>#REF!</v>
      </c>
      <c r="N8" s="62" t="s">
        <v>75</v>
      </c>
      <c r="O8" s="52" t="s">
        <v>79</v>
      </c>
      <c r="P8" s="49"/>
      <c r="Q8" s="53">
        <v>30</v>
      </c>
      <c r="R8" s="85">
        <f>ROUNDUP(Q8*0.75,2)</f>
        <v>22.5</v>
      </c>
    </row>
    <row r="9" spans="1:19" ht="24.95" customHeight="1">
      <c r="A9" s="333"/>
      <c r="B9" s="62"/>
      <c r="C9" s="48" t="s">
        <v>65</v>
      </c>
      <c r="D9" s="49"/>
      <c r="E9" s="50">
        <v>5</v>
      </c>
      <c r="F9" s="51" t="s">
        <v>34</v>
      </c>
      <c r="G9" s="66" t="s">
        <v>33</v>
      </c>
      <c r="H9" s="70" t="s">
        <v>65</v>
      </c>
      <c r="I9" s="49"/>
      <c r="J9" s="51">
        <f>ROUNDUP(E9*0.75,2)</f>
        <v>3.75</v>
      </c>
      <c r="K9" s="51" t="s">
        <v>34</v>
      </c>
      <c r="L9" s="51" t="s">
        <v>33</v>
      </c>
      <c r="M9" s="74" t="e">
        <f>#REF!</f>
        <v>#REF!</v>
      </c>
      <c r="N9" s="62" t="s">
        <v>76</v>
      </c>
      <c r="O9" s="52" t="s">
        <v>27</v>
      </c>
      <c r="P9" s="49"/>
      <c r="Q9" s="53">
        <v>1</v>
      </c>
      <c r="R9" s="85">
        <f>ROUNDUP(Q9*0.75,2)</f>
        <v>0.75</v>
      </c>
    </row>
    <row r="10" spans="1:19" ht="24.95" customHeight="1">
      <c r="A10" s="333"/>
      <c r="B10" s="62"/>
      <c r="C10" s="48"/>
      <c r="D10" s="49"/>
      <c r="E10" s="50"/>
      <c r="F10" s="51"/>
      <c r="G10" s="66"/>
      <c r="H10" s="70"/>
      <c r="I10" s="49"/>
      <c r="J10" s="51"/>
      <c r="K10" s="51"/>
      <c r="L10" s="51"/>
      <c r="M10" s="74"/>
      <c r="N10" s="62" t="s">
        <v>77</v>
      </c>
      <c r="O10" s="52"/>
      <c r="P10" s="49"/>
      <c r="Q10" s="53"/>
      <c r="R10" s="85"/>
    </row>
    <row r="11" spans="1:19" ht="24.95" customHeight="1">
      <c r="A11" s="333"/>
      <c r="B11" s="62"/>
      <c r="C11" s="48"/>
      <c r="D11" s="49"/>
      <c r="E11" s="50"/>
      <c r="F11" s="51"/>
      <c r="G11" s="66"/>
      <c r="H11" s="70"/>
      <c r="I11" s="49"/>
      <c r="J11" s="51"/>
      <c r="K11" s="51"/>
      <c r="L11" s="51"/>
      <c r="M11" s="74"/>
      <c r="N11" s="62"/>
      <c r="O11" s="52"/>
      <c r="P11" s="49"/>
      <c r="Q11" s="53"/>
      <c r="R11" s="85"/>
    </row>
    <row r="12" spans="1:19" ht="24.95" customHeight="1">
      <c r="A12" s="333"/>
      <c r="B12" s="61"/>
      <c r="C12" s="42"/>
      <c r="D12" s="43"/>
      <c r="E12" s="44"/>
      <c r="F12" s="45"/>
      <c r="G12" s="65"/>
      <c r="H12" s="69"/>
      <c r="I12" s="43"/>
      <c r="J12" s="45"/>
      <c r="K12" s="45"/>
      <c r="L12" s="45"/>
      <c r="M12" s="73"/>
      <c r="N12" s="61"/>
      <c r="O12" s="46"/>
      <c r="P12" s="43"/>
      <c r="Q12" s="47"/>
      <c r="R12" s="84"/>
    </row>
    <row r="13" spans="1:19" ht="24.95" customHeight="1">
      <c r="A13" s="333"/>
      <c r="B13" s="62" t="s">
        <v>83</v>
      </c>
      <c r="C13" s="48" t="s">
        <v>87</v>
      </c>
      <c r="D13" s="49" t="s">
        <v>23</v>
      </c>
      <c r="E13" s="50">
        <v>10</v>
      </c>
      <c r="F13" s="51" t="s">
        <v>34</v>
      </c>
      <c r="G13" s="66"/>
      <c r="H13" s="70" t="s">
        <v>87</v>
      </c>
      <c r="I13" s="49" t="s">
        <v>23</v>
      </c>
      <c r="J13" s="51">
        <f>ROUNDUP(E13*0.75,2)</f>
        <v>7.5</v>
      </c>
      <c r="K13" s="51" t="s">
        <v>34</v>
      </c>
      <c r="L13" s="51"/>
      <c r="M13" s="74" t="e">
        <f>#REF!</f>
        <v>#REF!</v>
      </c>
      <c r="N13" s="62" t="s">
        <v>84</v>
      </c>
      <c r="O13" s="52" t="s">
        <v>27</v>
      </c>
      <c r="P13" s="49"/>
      <c r="Q13" s="53">
        <v>0.3</v>
      </c>
      <c r="R13" s="85">
        <f>ROUNDUP(Q13*0.75,2)</f>
        <v>0.23</v>
      </c>
    </row>
    <row r="14" spans="1:19" ht="24.95" customHeight="1">
      <c r="A14" s="333"/>
      <c r="B14" s="62"/>
      <c r="C14" s="48" t="s">
        <v>237</v>
      </c>
      <c r="D14" s="49"/>
      <c r="E14" s="50">
        <v>20</v>
      </c>
      <c r="F14" s="51" t="s">
        <v>34</v>
      </c>
      <c r="G14" s="66"/>
      <c r="H14" s="70" t="s">
        <v>237</v>
      </c>
      <c r="I14" s="49"/>
      <c r="J14" s="51">
        <f>ROUNDUP(E14*0.75,2)</f>
        <v>15</v>
      </c>
      <c r="K14" s="51" t="s">
        <v>34</v>
      </c>
      <c r="L14" s="51"/>
      <c r="M14" s="74" t="e">
        <f>ROUND(#REF!+(#REF!*50/100),2)</f>
        <v>#REF!</v>
      </c>
      <c r="N14" s="62" t="s">
        <v>85</v>
      </c>
      <c r="O14" s="52" t="s">
        <v>45</v>
      </c>
      <c r="P14" s="49"/>
      <c r="Q14" s="53">
        <v>0.1</v>
      </c>
      <c r="R14" s="85">
        <f>ROUNDUP(Q14*0.75,2)</f>
        <v>0.08</v>
      </c>
    </row>
    <row r="15" spans="1:19" ht="24.95" customHeight="1">
      <c r="A15" s="333"/>
      <c r="B15" s="62"/>
      <c r="C15" s="48" t="s">
        <v>137</v>
      </c>
      <c r="D15" s="49"/>
      <c r="E15" s="50">
        <v>5</v>
      </c>
      <c r="F15" s="51" t="s">
        <v>34</v>
      </c>
      <c r="G15" s="66"/>
      <c r="H15" s="70" t="s">
        <v>137</v>
      </c>
      <c r="I15" s="49"/>
      <c r="J15" s="51">
        <f>ROUNDUP(E15*0.75,2)</f>
        <v>3.75</v>
      </c>
      <c r="K15" s="51" t="s">
        <v>34</v>
      </c>
      <c r="L15" s="51"/>
      <c r="M15" s="74" t="e">
        <f>ROUND(#REF!+(#REF!*10/100),2)</f>
        <v>#REF!</v>
      </c>
      <c r="N15" s="62" t="s">
        <v>86</v>
      </c>
      <c r="O15" s="52" t="s">
        <v>30</v>
      </c>
      <c r="P15" s="49" t="s">
        <v>31</v>
      </c>
      <c r="Q15" s="53">
        <v>4</v>
      </c>
      <c r="R15" s="85">
        <f>ROUNDUP(Q15*0.75,2)</f>
        <v>3</v>
      </c>
    </row>
    <row r="16" spans="1:19" ht="24.95" customHeight="1">
      <c r="A16" s="333"/>
      <c r="B16" s="62"/>
      <c r="C16" s="48"/>
      <c r="D16" s="49"/>
      <c r="E16" s="50"/>
      <c r="F16" s="51"/>
      <c r="G16" s="66"/>
      <c r="H16" s="70"/>
      <c r="I16" s="49"/>
      <c r="J16" s="51"/>
      <c r="K16" s="51"/>
      <c r="L16" s="51"/>
      <c r="M16" s="74"/>
      <c r="N16" s="62" t="s">
        <v>18</v>
      </c>
      <c r="O16" s="52"/>
      <c r="P16" s="49"/>
      <c r="Q16" s="53"/>
      <c r="R16" s="85"/>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238</v>
      </c>
      <c r="C18" s="48" t="s">
        <v>239</v>
      </c>
      <c r="D18" s="49"/>
      <c r="E18" s="76">
        <v>0.25</v>
      </c>
      <c r="F18" s="51" t="s">
        <v>234</v>
      </c>
      <c r="G18" s="66"/>
      <c r="H18" s="70" t="s">
        <v>239</v>
      </c>
      <c r="I18" s="49"/>
      <c r="J18" s="51">
        <f>ROUNDUP(E18*0.75,2)</f>
        <v>0.19</v>
      </c>
      <c r="K18" s="51" t="s">
        <v>234</v>
      </c>
      <c r="L18" s="51"/>
      <c r="M18" s="74" t="e">
        <f>#REF!</f>
        <v>#REF!</v>
      </c>
      <c r="N18" s="62" t="s">
        <v>146</v>
      </c>
      <c r="O18" s="52"/>
      <c r="P18" s="49"/>
      <c r="Q18" s="53"/>
      <c r="R18" s="85"/>
    </row>
    <row r="19" spans="1:18" ht="24.95" customHeight="1" thickBot="1">
      <c r="A19" s="334"/>
      <c r="B19" s="63"/>
      <c r="C19" s="54"/>
      <c r="D19" s="55"/>
      <c r="E19" s="56"/>
      <c r="F19" s="57"/>
      <c r="G19" s="67"/>
      <c r="H19" s="71"/>
      <c r="I19" s="55"/>
      <c r="J19" s="57"/>
      <c r="K19" s="57"/>
      <c r="L19" s="57"/>
      <c r="M19" s="75"/>
      <c r="N19" s="63"/>
      <c r="O19" s="58"/>
      <c r="P19" s="55"/>
      <c r="Q19" s="59"/>
      <c r="R19" s="86"/>
    </row>
  </sheetData>
  <mergeCells count="4">
    <mergeCell ref="H1:N1"/>
    <mergeCell ref="A2:R2"/>
    <mergeCell ref="A3:F3"/>
    <mergeCell ref="A5:A19"/>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242</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105</v>
      </c>
      <c r="C5" s="36" t="s">
        <v>106</v>
      </c>
      <c r="D5" s="37" t="s">
        <v>107</v>
      </c>
      <c r="E5" s="80">
        <v>0.5</v>
      </c>
      <c r="F5" s="39" t="s">
        <v>90</v>
      </c>
      <c r="G5" s="64" t="s">
        <v>53</v>
      </c>
      <c r="H5" s="68" t="s">
        <v>106</v>
      </c>
      <c r="I5" s="37" t="s">
        <v>107</v>
      </c>
      <c r="J5" s="39">
        <f>ROUNDUP(E5*0.75,2)</f>
        <v>0.38</v>
      </c>
      <c r="K5" s="39" t="s">
        <v>90</v>
      </c>
      <c r="L5" s="39" t="s">
        <v>53</v>
      </c>
      <c r="M5" s="72" t="e">
        <f>#REF!</f>
        <v>#REF!</v>
      </c>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118</v>
      </c>
      <c r="C7" s="48" t="s">
        <v>122</v>
      </c>
      <c r="D7" s="49"/>
      <c r="E7" s="50">
        <v>1</v>
      </c>
      <c r="F7" s="51" t="s">
        <v>21</v>
      </c>
      <c r="G7" s="66" t="s">
        <v>123</v>
      </c>
      <c r="H7" s="70" t="s">
        <v>122</v>
      </c>
      <c r="I7" s="49"/>
      <c r="J7" s="51">
        <f>ROUNDUP(E7*0.75,2)</f>
        <v>0.75</v>
      </c>
      <c r="K7" s="51" t="s">
        <v>21</v>
      </c>
      <c r="L7" s="51" t="s">
        <v>123</v>
      </c>
      <c r="M7" s="74" t="e">
        <f>#REF!</f>
        <v>#REF!</v>
      </c>
      <c r="N7" s="62" t="s">
        <v>119</v>
      </c>
      <c r="O7" s="52" t="s">
        <v>114</v>
      </c>
      <c r="P7" s="49"/>
      <c r="Q7" s="53">
        <v>3</v>
      </c>
      <c r="R7" s="85">
        <f t="shared" ref="R7:R12" si="0">ROUNDUP(Q7*0.75,2)</f>
        <v>2.25</v>
      </c>
    </row>
    <row r="8" spans="1:19" ht="24.95" customHeight="1">
      <c r="A8" s="333"/>
      <c r="B8" s="62"/>
      <c r="C8" s="48" t="s">
        <v>135</v>
      </c>
      <c r="D8" s="49"/>
      <c r="E8" s="50">
        <v>10</v>
      </c>
      <c r="F8" s="51" t="s">
        <v>34</v>
      </c>
      <c r="G8" s="66"/>
      <c r="H8" s="70" t="s">
        <v>135</v>
      </c>
      <c r="I8" s="49"/>
      <c r="J8" s="51">
        <f>ROUNDUP(E8*0.75,2)</f>
        <v>7.5</v>
      </c>
      <c r="K8" s="51" t="s">
        <v>34</v>
      </c>
      <c r="L8" s="51"/>
      <c r="M8" s="74" t="e">
        <f>ROUND(#REF!+(#REF!*6/100),2)</f>
        <v>#REF!</v>
      </c>
      <c r="N8" s="62" t="s">
        <v>120</v>
      </c>
      <c r="O8" s="52" t="s">
        <v>24</v>
      </c>
      <c r="P8" s="49"/>
      <c r="Q8" s="53">
        <v>2</v>
      </c>
      <c r="R8" s="85">
        <f t="shared" si="0"/>
        <v>1.5</v>
      </c>
    </row>
    <row r="9" spans="1:19" ht="24.95" customHeight="1">
      <c r="A9" s="333"/>
      <c r="B9" s="62"/>
      <c r="C9" s="48" t="s">
        <v>137</v>
      </c>
      <c r="D9" s="49"/>
      <c r="E9" s="50">
        <v>5</v>
      </c>
      <c r="F9" s="51" t="s">
        <v>34</v>
      </c>
      <c r="G9" s="66"/>
      <c r="H9" s="70" t="s">
        <v>137</v>
      </c>
      <c r="I9" s="49"/>
      <c r="J9" s="51">
        <f>ROUNDUP(E9*0.75,2)</f>
        <v>3.75</v>
      </c>
      <c r="K9" s="51" t="s">
        <v>34</v>
      </c>
      <c r="L9" s="51"/>
      <c r="M9" s="74" t="e">
        <f>ROUND(#REF!+(#REF!*10/100),2)</f>
        <v>#REF!</v>
      </c>
      <c r="N9" s="62" t="s">
        <v>121</v>
      </c>
      <c r="O9" s="52" t="s">
        <v>36</v>
      </c>
      <c r="P9" s="49"/>
      <c r="Q9" s="53">
        <v>40</v>
      </c>
      <c r="R9" s="85">
        <f t="shared" si="0"/>
        <v>30</v>
      </c>
    </row>
    <row r="10" spans="1:19" ht="24.95" customHeight="1">
      <c r="A10" s="333"/>
      <c r="B10" s="62"/>
      <c r="C10" s="48" t="s">
        <v>43</v>
      </c>
      <c r="D10" s="49"/>
      <c r="E10" s="50">
        <v>3</v>
      </c>
      <c r="F10" s="51" t="s">
        <v>34</v>
      </c>
      <c r="G10" s="66" t="s">
        <v>33</v>
      </c>
      <c r="H10" s="70" t="s">
        <v>43</v>
      </c>
      <c r="I10" s="49"/>
      <c r="J10" s="51">
        <f>ROUNDUP(E10*0.75,2)</f>
        <v>2.25</v>
      </c>
      <c r="K10" s="51" t="s">
        <v>34</v>
      </c>
      <c r="L10" s="51" t="s">
        <v>33</v>
      </c>
      <c r="M10" s="74" t="e">
        <f>#REF!</f>
        <v>#REF!</v>
      </c>
      <c r="N10" s="62" t="s">
        <v>270</v>
      </c>
      <c r="O10" s="52" t="s">
        <v>28</v>
      </c>
      <c r="P10" s="49"/>
      <c r="Q10" s="53">
        <v>2</v>
      </c>
      <c r="R10" s="85">
        <f t="shared" si="0"/>
        <v>1.5</v>
      </c>
    </row>
    <row r="11" spans="1:19" ht="24.95" customHeight="1">
      <c r="A11" s="333"/>
      <c r="B11" s="62"/>
      <c r="C11" s="48"/>
      <c r="D11" s="49"/>
      <c r="E11" s="50"/>
      <c r="F11" s="51"/>
      <c r="G11" s="66"/>
      <c r="H11" s="70"/>
      <c r="I11" s="49"/>
      <c r="J11" s="51"/>
      <c r="K11" s="51"/>
      <c r="L11" s="51"/>
      <c r="M11" s="74"/>
      <c r="N11" s="62" t="s">
        <v>18</v>
      </c>
      <c r="O11" s="52" t="s">
        <v>35</v>
      </c>
      <c r="P11" s="49" t="s">
        <v>23</v>
      </c>
      <c r="Q11" s="53">
        <v>1.5</v>
      </c>
      <c r="R11" s="85">
        <f t="shared" si="0"/>
        <v>1.1300000000000001</v>
      </c>
    </row>
    <row r="12" spans="1:19" ht="24.95" customHeight="1">
      <c r="A12" s="333"/>
      <c r="B12" s="62"/>
      <c r="C12" s="48"/>
      <c r="D12" s="49"/>
      <c r="E12" s="50"/>
      <c r="F12" s="51"/>
      <c r="G12" s="66"/>
      <c r="H12" s="70"/>
      <c r="I12" s="49"/>
      <c r="J12" s="51"/>
      <c r="K12" s="51"/>
      <c r="L12" s="51"/>
      <c r="M12" s="74"/>
      <c r="N12" s="62"/>
      <c r="O12" s="52" t="s">
        <v>114</v>
      </c>
      <c r="P12" s="49"/>
      <c r="Q12" s="53">
        <v>1</v>
      </c>
      <c r="R12" s="85">
        <f t="shared" si="0"/>
        <v>0.75</v>
      </c>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124</v>
      </c>
      <c r="C14" s="48" t="s">
        <v>235</v>
      </c>
      <c r="D14" s="49"/>
      <c r="E14" s="50">
        <v>50</v>
      </c>
      <c r="F14" s="51" t="s">
        <v>34</v>
      </c>
      <c r="G14" s="66"/>
      <c r="H14" s="70" t="s">
        <v>235</v>
      </c>
      <c r="I14" s="49"/>
      <c r="J14" s="51">
        <f>ROUNDUP(E14*0.75,2)</f>
        <v>37.5</v>
      </c>
      <c r="K14" s="51" t="s">
        <v>34</v>
      </c>
      <c r="L14" s="51"/>
      <c r="M14" s="74" t="e">
        <f>ROUND(#REF!+(#REF!*10/100),2)</f>
        <v>#REF!</v>
      </c>
      <c r="N14" s="62" t="s">
        <v>67</v>
      </c>
      <c r="O14" s="52" t="s">
        <v>79</v>
      </c>
      <c r="P14" s="49"/>
      <c r="Q14" s="53">
        <v>20</v>
      </c>
      <c r="R14" s="85">
        <f>ROUNDUP(Q14*0.75,2)</f>
        <v>15</v>
      </c>
    </row>
    <row r="15" spans="1:19" ht="24.95" customHeight="1">
      <c r="A15" s="333"/>
      <c r="B15" s="62"/>
      <c r="C15" s="48"/>
      <c r="D15" s="49"/>
      <c r="E15" s="50"/>
      <c r="F15" s="51"/>
      <c r="G15" s="66"/>
      <c r="H15" s="70"/>
      <c r="I15" s="49"/>
      <c r="J15" s="51"/>
      <c r="K15" s="51"/>
      <c r="L15" s="51"/>
      <c r="M15" s="74"/>
      <c r="N15" s="62" t="s">
        <v>125</v>
      </c>
      <c r="O15" s="52" t="s">
        <v>45</v>
      </c>
      <c r="P15" s="49"/>
      <c r="Q15" s="53">
        <v>0.1</v>
      </c>
      <c r="R15" s="85">
        <f>ROUNDUP(Q15*0.75,2)</f>
        <v>0.08</v>
      </c>
    </row>
    <row r="16" spans="1:19" ht="24.95" customHeight="1">
      <c r="A16" s="333"/>
      <c r="B16" s="62"/>
      <c r="C16" s="48"/>
      <c r="D16" s="49"/>
      <c r="E16" s="50"/>
      <c r="F16" s="51"/>
      <c r="G16" s="66"/>
      <c r="H16" s="70"/>
      <c r="I16" s="49"/>
      <c r="J16" s="51"/>
      <c r="K16" s="51"/>
      <c r="L16" s="51"/>
      <c r="M16" s="74"/>
      <c r="N16" s="62" t="s">
        <v>126</v>
      </c>
      <c r="O16" s="52" t="s">
        <v>27</v>
      </c>
      <c r="P16" s="49"/>
      <c r="Q16" s="53">
        <v>1</v>
      </c>
      <c r="R16" s="85">
        <f>ROUNDUP(Q16*0.75,2)</f>
        <v>0.75</v>
      </c>
    </row>
    <row r="17" spans="1:18" ht="24.95" customHeight="1">
      <c r="A17" s="333"/>
      <c r="B17" s="62"/>
      <c r="C17" s="48"/>
      <c r="D17" s="49"/>
      <c r="E17" s="50"/>
      <c r="F17" s="51"/>
      <c r="G17" s="66"/>
      <c r="H17" s="70"/>
      <c r="I17" s="49"/>
      <c r="J17" s="51"/>
      <c r="K17" s="51"/>
      <c r="L17" s="51"/>
      <c r="M17" s="74"/>
      <c r="N17" s="62" t="s">
        <v>127</v>
      </c>
      <c r="O17" s="52" t="s">
        <v>25</v>
      </c>
      <c r="P17" s="49" t="s">
        <v>26</v>
      </c>
      <c r="Q17" s="53">
        <v>1</v>
      </c>
      <c r="R17" s="85">
        <f>ROUNDUP(Q17*0.75,2)</f>
        <v>0.75</v>
      </c>
    </row>
    <row r="18" spans="1:18" ht="24.95" customHeight="1">
      <c r="A18" s="333"/>
      <c r="B18" s="62"/>
      <c r="C18" s="48"/>
      <c r="D18" s="49"/>
      <c r="E18" s="50"/>
      <c r="F18" s="51"/>
      <c r="G18" s="66"/>
      <c r="H18" s="70"/>
      <c r="I18" s="49"/>
      <c r="J18" s="51"/>
      <c r="K18" s="51"/>
      <c r="L18" s="51"/>
      <c r="M18" s="74"/>
      <c r="N18" s="62" t="s">
        <v>77</v>
      </c>
      <c r="O18" s="52"/>
      <c r="P18" s="49"/>
      <c r="Q18" s="53"/>
      <c r="R18" s="85"/>
    </row>
    <row r="19" spans="1:18" ht="24.95" customHeight="1">
      <c r="A19" s="333"/>
      <c r="B19" s="62"/>
      <c r="C19" s="48"/>
      <c r="D19" s="49"/>
      <c r="E19" s="50"/>
      <c r="F19" s="51"/>
      <c r="G19" s="66"/>
      <c r="H19" s="70"/>
      <c r="I19" s="49"/>
      <c r="J19" s="51"/>
      <c r="K19" s="51"/>
      <c r="L19" s="51"/>
      <c r="M19" s="74"/>
      <c r="N19" s="62"/>
      <c r="O19" s="52"/>
      <c r="P19" s="49"/>
      <c r="Q19" s="53"/>
      <c r="R19" s="85"/>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69</v>
      </c>
      <c r="C21" s="48" t="s">
        <v>110</v>
      </c>
      <c r="D21" s="49" t="s">
        <v>23</v>
      </c>
      <c r="E21" s="78">
        <v>0.1</v>
      </c>
      <c r="F21" s="51" t="s">
        <v>90</v>
      </c>
      <c r="G21" s="66" t="s">
        <v>111</v>
      </c>
      <c r="H21" s="70" t="s">
        <v>110</v>
      </c>
      <c r="I21" s="49" t="s">
        <v>23</v>
      </c>
      <c r="J21" s="51">
        <f>ROUNDUP(E21*0.75,2)</f>
        <v>0.08</v>
      </c>
      <c r="K21" s="51" t="s">
        <v>90</v>
      </c>
      <c r="L21" s="51" t="s">
        <v>111</v>
      </c>
      <c r="M21" s="74" t="e">
        <f>#REF!</f>
        <v>#REF!</v>
      </c>
      <c r="N21" s="62" t="s">
        <v>18</v>
      </c>
      <c r="O21" s="52" t="s">
        <v>36</v>
      </c>
      <c r="P21" s="49"/>
      <c r="Q21" s="53">
        <v>100</v>
      </c>
      <c r="R21" s="85">
        <f>ROUNDUP(Q21*0.75,2)</f>
        <v>75</v>
      </c>
    </row>
    <row r="22" spans="1:18" ht="24.95" customHeight="1">
      <c r="A22" s="333"/>
      <c r="B22" s="62"/>
      <c r="C22" s="48" t="s">
        <v>128</v>
      </c>
      <c r="D22" s="49" t="s">
        <v>129</v>
      </c>
      <c r="E22" s="76">
        <v>0.25</v>
      </c>
      <c r="F22" s="51" t="s">
        <v>40</v>
      </c>
      <c r="G22" s="66"/>
      <c r="H22" s="70" t="s">
        <v>128</v>
      </c>
      <c r="I22" s="49" t="s">
        <v>129</v>
      </c>
      <c r="J22" s="51">
        <f>ROUNDUP(E22*0.75,2)</f>
        <v>0.19</v>
      </c>
      <c r="K22" s="51" t="s">
        <v>40</v>
      </c>
      <c r="L22" s="51"/>
      <c r="M22" s="74" t="e">
        <f>#REF!</f>
        <v>#REF!</v>
      </c>
      <c r="N22" s="62"/>
      <c r="O22" s="52" t="s">
        <v>29</v>
      </c>
      <c r="P22" s="49"/>
      <c r="Q22" s="53">
        <v>3</v>
      </c>
      <c r="R22" s="85">
        <f>ROUNDUP(Q22*0.75,2)</f>
        <v>2.25</v>
      </c>
    </row>
    <row r="23" spans="1:18" ht="24.95" customHeight="1">
      <c r="A23" s="333"/>
      <c r="B23" s="61"/>
      <c r="C23" s="42"/>
      <c r="D23" s="43"/>
      <c r="E23" s="44"/>
      <c r="F23" s="45"/>
      <c r="G23" s="65"/>
      <c r="H23" s="69"/>
      <c r="I23" s="43"/>
      <c r="J23" s="45"/>
      <c r="K23" s="45"/>
      <c r="L23" s="45"/>
      <c r="M23" s="73"/>
      <c r="N23" s="61"/>
      <c r="O23" s="46"/>
      <c r="P23" s="43"/>
      <c r="Q23" s="47"/>
      <c r="R23" s="84"/>
    </row>
    <row r="24" spans="1:18" ht="24.95" customHeight="1">
      <c r="A24" s="333"/>
      <c r="B24" s="62" t="s">
        <v>175</v>
      </c>
      <c r="C24" s="48" t="s">
        <v>176</v>
      </c>
      <c r="D24" s="49"/>
      <c r="E24" s="81">
        <v>0.16666666666666666</v>
      </c>
      <c r="F24" s="51" t="s">
        <v>40</v>
      </c>
      <c r="G24" s="66"/>
      <c r="H24" s="70" t="s">
        <v>176</v>
      </c>
      <c r="I24" s="49"/>
      <c r="J24" s="51">
        <f>ROUNDUP(E24*0.75,2)</f>
        <v>0.13</v>
      </c>
      <c r="K24" s="51" t="s">
        <v>40</v>
      </c>
      <c r="L24" s="51"/>
      <c r="M24" s="74" t="e">
        <f>#REF!</f>
        <v>#REF!</v>
      </c>
      <c r="N24" s="62" t="s">
        <v>146</v>
      </c>
      <c r="O24" s="52"/>
      <c r="P24" s="49"/>
      <c r="Q24" s="53"/>
      <c r="R24" s="85"/>
    </row>
    <row r="25" spans="1:18" ht="24.95" customHeight="1" thickBot="1">
      <c r="A25" s="334"/>
      <c r="B25" s="63"/>
      <c r="C25" s="54"/>
      <c r="D25" s="55"/>
      <c r="E25" s="56"/>
      <c r="F25" s="57"/>
      <c r="G25" s="67"/>
      <c r="H25" s="71"/>
      <c r="I25" s="55"/>
      <c r="J25" s="57"/>
      <c r="K25" s="57"/>
      <c r="L25" s="57"/>
      <c r="M25" s="75"/>
      <c r="N25" s="63"/>
      <c r="O25" s="58"/>
      <c r="P25" s="55"/>
      <c r="Q25" s="59"/>
      <c r="R25" s="86"/>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244</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133</v>
      </c>
      <c r="C7" s="48" t="s">
        <v>134</v>
      </c>
      <c r="D7" s="49"/>
      <c r="E7" s="50">
        <v>30</v>
      </c>
      <c r="F7" s="51" t="s">
        <v>34</v>
      </c>
      <c r="G7" s="66" t="s">
        <v>58</v>
      </c>
      <c r="H7" s="70" t="s">
        <v>134</v>
      </c>
      <c r="I7" s="49"/>
      <c r="J7" s="51">
        <f t="shared" ref="J7:J13" si="0">ROUNDUP(E7*0.75,2)</f>
        <v>22.5</v>
      </c>
      <c r="K7" s="51" t="s">
        <v>34</v>
      </c>
      <c r="L7" s="51" t="s">
        <v>58</v>
      </c>
      <c r="M7" s="74" t="e">
        <f>#REF!</f>
        <v>#REF!</v>
      </c>
      <c r="N7" s="62" t="s">
        <v>271</v>
      </c>
      <c r="O7" s="52" t="s">
        <v>24</v>
      </c>
      <c r="P7" s="49"/>
      <c r="Q7" s="53">
        <v>1</v>
      </c>
      <c r="R7" s="85">
        <f>ROUNDUP(Q7*0.75,2)</f>
        <v>0.75</v>
      </c>
    </row>
    <row r="8" spans="1:19" ht="24.95" customHeight="1">
      <c r="A8" s="333"/>
      <c r="B8" s="62"/>
      <c r="C8" s="48" t="s">
        <v>135</v>
      </c>
      <c r="D8" s="49"/>
      <c r="E8" s="50">
        <v>30</v>
      </c>
      <c r="F8" s="51" t="s">
        <v>34</v>
      </c>
      <c r="G8" s="66"/>
      <c r="H8" s="70" t="s">
        <v>135</v>
      </c>
      <c r="I8" s="49"/>
      <c r="J8" s="51">
        <f t="shared" si="0"/>
        <v>22.5</v>
      </c>
      <c r="K8" s="51" t="s">
        <v>34</v>
      </c>
      <c r="L8" s="51"/>
      <c r="M8" s="74" t="e">
        <f>ROUND(#REF!+(#REF!*6/100),2)</f>
        <v>#REF!</v>
      </c>
      <c r="N8" s="62" t="s">
        <v>272</v>
      </c>
      <c r="O8" s="52" t="s">
        <v>79</v>
      </c>
      <c r="P8" s="49"/>
      <c r="Q8" s="53">
        <v>50</v>
      </c>
      <c r="R8" s="85">
        <f>ROUNDUP(Q8*0.75,2)</f>
        <v>37.5</v>
      </c>
    </row>
    <row r="9" spans="1:19" ht="24.95" customHeight="1">
      <c r="A9" s="333"/>
      <c r="B9" s="62"/>
      <c r="C9" s="48" t="s">
        <v>136</v>
      </c>
      <c r="D9" s="49"/>
      <c r="E9" s="50">
        <v>20</v>
      </c>
      <c r="F9" s="51" t="s">
        <v>34</v>
      </c>
      <c r="G9" s="66"/>
      <c r="H9" s="70" t="s">
        <v>136</v>
      </c>
      <c r="I9" s="49"/>
      <c r="J9" s="51">
        <f t="shared" si="0"/>
        <v>15</v>
      </c>
      <c r="K9" s="51" t="s">
        <v>34</v>
      </c>
      <c r="L9" s="51"/>
      <c r="M9" s="74" t="e">
        <f>ROUND(#REF!+(#REF!*15/100),2)</f>
        <v>#REF!</v>
      </c>
      <c r="N9" s="62" t="s">
        <v>267</v>
      </c>
      <c r="O9" s="52"/>
      <c r="P9" s="49"/>
      <c r="Q9" s="53"/>
      <c r="R9" s="85"/>
    </row>
    <row r="10" spans="1:19" ht="24.95" customHeight="1">
      <c r="A10" s="333"/>
      <c r="B10" s="62"/>
      <c r="C10" s="48" t="s">
        <v>137</v>
      </c>
      <c r="D10" s="49"/>
      <c r="E10" s="50">
        <v>5</v>
      </c>
      <c r="F10" s="51" t="s">
        <v>34</v>
      </c>
      <c r="G10" s="66"/>
      <c r="H10" s="70" t="s">
        <v>137</v>
      </c>
      <c r="I10" s="49"/>
      <c r="J10" s="51">
        <f t="shared" si="0"/>
        <v>3.75</v>
      </c>
      <c r="K10" s="51" t="s">
        <v>34</v>
      </c>
      <c r="L10" s="51"/>
      <c r="M10" s="74" t="e">
        <f>ROUND(#REF!+(#REF!*10/100),2)</f>
        <v>#REF!</v>
      </c>
      <c r="N10" s="62" t="s">
        <v>268</v>
      </c>
      <c r="O10" s="52"/>
      <c r="P10" s="49"/>
      <c r="Q10" s="53"/>
      <c r="R10" s="85"/>
    </row>
    <row r="11" spans="1:19" ht="24.95" customHeight="1">
      <c r="A11" s="333"/>
      <c r="B11" s="62"/>
      <c r="C11" s="48" t="s">
        <v>138</v>
      </c>
      <c r="D11" s="49"/>
      <c r="E11" s="50">
        <v>10</v>
      </c>
      <c r="F11" s="51" t="s">
        <v>34</v>
      </c>
      <c r="G11" s="66"/>
      <c r="H11" s="70" t="s">
        <v>138</v>
      </c>
      <c r="I11" s="49"/>
      <c r="J11" s="51">
        <f t="shared" si="0"/>
        <v>7.5</v>
      </c>
      <c r="K11" s="51" t="s">
        <v>34</v>
      </c>
      <c r="L11" s="51"/>
      <c r="M11" s="74" t="e">
        <f>ROUND(#REF!+(#REF!*10/100),2)</f>
        <v>#REF!</v>
      </c>
      <c r="N11" s="62" t="s">
        <v>18</v>
      </c>
      <c r="O11" s="52"/>
      <c r="P11" s="49"/>
      <c r="Q11" s="53"/>
      <c r="R11" s="85"/>
    </row>
    <row r="12" spans="1:19" ht="24.95" customHeight="1">
      <c r="A12" s="333"/>
      <c r="B12" s="62"/>
      <c r="C12" s="48" t="s">
        <v>139</v>
      </c>
      <c r="D12" s="49" t="s">
        <v>140</v>
      </c>
      <c r="E12" s="50">
        <v>10</v>
      </c>
      <c r="F12" s="51" t="s">
        <v>34</v>
      </c>
      <c r="G12" s="66"/>
      <c r="H12" s="70" t="s">
        <v>139</v>
      </c>
      <c r="I12" s="49" t="s">
        <v>140</v>
      </c>
      <c r="J12" s="51">
        <f t="shared" si="0"/>
        <v>7.5</v>
      </c>
      <c r="K12" s="51" t="s">
        <v>34</v>
      </c>
      <c r="L12" s="51"/>
      <c r="M12" s="74" t="e">
        <f>#REF!</f>
        <v>#REF!</v>
      </c>
      <c r="N12" s="62"/>
      <c r="O12" s="52"/>
      <c r="P12" s="49"/>
      <c r="Q12" s="53"/>
      <c r="R12" s="85"/>
    </row>
    <row r="13" spans="1:19" ht="24.95" customHeight="1">
      <c r="A13" s="333"/>
      <c r="B13" s="62"/>
      <c r="C13" s="48" t="s">
        <v>52</v>
      </c>
      <c r="D13" s="49" t="s">
        <v>26</v>
      </c>
      <c r="E13" s="50">
        <v>40</v>
      </c>
      <c r="F13" s="51" t="s">
        <v>54</v>
      </c>
      <c r="G13" s="66" t="s">
        <v>53</v>
      </c>
      <c r="H13" s="70" t="s">
        <v>52</v>
      </c>
      <c r="I13" s="49" t="s">
        <v>26</v>
      </c>
      <c r="J13" s="51">
        <f t="shared" si="0"/>
        <v>30</v>
      </c>
      <c r="K13" s="51" t="s">
        <v>54</v>
      </c>
      <c r="L13" s="51" t="s">
        <v>53</v>
      </c>
      <c r="M13" s="74" t="e">
        <f>#REF!</f>
        <v>#REF!</v>
      </c>
      <c r="N13" s="62"/>
      <c r="O13" s="52"/>
      <c r="P13" s="49"/>
      <c r="Q13" s="53"/>
      <c r="R13" s="85"/>
    </row>
    <row r="14" spans="1:19" ht="24.95" customHeight="1">
      <c r="A14" s="333"/>
      <c r="B14" s="61"/>
      <c r="C14" s="42"/>
      <c r="D14" s="43"/>
      <c r="E14" s="44"/>
      <c r="F14" s="45"/>
      <c r="G14" s="65"/>
      <c r="H14" s="69"/>
      <c r="I14" s="43"/>
      <c r="J14" s="45"/>
      <c r="K14" s="45"/>
      <c r="L14" s="45"/>
      <c r="M14" s="73"/>
      <c r="N14" s="61"/>
      <c r="O14" s="46"/>
      <c r="P14" s="43"/>
      <c r="Q14" s="47"/>
      <c r="R14" s="84"/>
    </row>
    <row r="15" spans="1:19" ht="24.95" customHeight="1">
      <c r="A15" s="333"/>
      <c r="B15" s="62" t="s">
        <v>141</v>
      </c>
      <c r="C15" s="48" t="s">
        <v>144</v>
      </c>
      <c r="D15" s="49"/>
      <c r="E15" s="50">
        <v>30</v>
      </c>
      <c r="F15" s="51" t="s">
        <v>34</v>
      </c>
      <c r="G15" s="66"/>
      <c r="H15" s="70" t="s">
        <v>144</v>
      </c>
      <c r="I15" s="49"/>
      <c r="J15" s="51">
        <f>ROUNDUP(E15*0.75,2)</f>
        <v>22.5</v>
      </c>
      <c r="K15" s="51" t="s">
        <v>34</v>
      </c>
      <c r="L15" s="51"/>
      <c r="M15" s="74" t="e">
        <f>ROUND(#REF!+(#REF!*2/100),2)</f>
        <v>#REF!</v>
      </c>
      <c r="N15" s="62" t="s">
        <v>142</v>
      </c>
      <c r="O15" s="52" t="s">
        <v>27</v>
      </c>
      <c r="P15" s="49"/>
      <c r="Q15" s="53">
        <v>1</v>
      </c>
      <c r="R15" s="85">
        <f>ROUNDUP(Q15*0.75,2)</f>
        <v>0.75</v>
      </c>
    </row>
    <row r="16" spans="1:19" ht="24.95" customHeight="1">
      <c r="A16" s="333"/>
      <c r="B16" s="62"/>
      <c r="C16" s="48" t="s">
        <v>48</v>
      </c>
      <c r="D16" s="49"/>
      <c r="E16" s="50">
        <v>0.5</v>
      </c>
      <c r="F16" s="51" t="s">
        <v>34</v>
      </c>
      <c r="G16" s="66" t="s">
        <v>49</v>
      </c>
      <c r="H16" s="70" t="s">
        <v>48</v>
      </c>
      <c r="I16" s="49"/>
      <c r="J16" s="51">
        <f>ROUNDUP(E16*0.75,2)</f>
        <v>0.38</v>
      </c>
      <c r="K16" s="51" t="s">
        <v>34</v>
      </c>
      <c r="L16" s="51" t="s">
        <v>49</v>
      </c>
      <c r="M16" s="74" t="e">
        <f>#REF!</f>
        <v>#REF!</v>
      </c>
      <c r="N16" s="62" t="s">
        <v>143</v>
      </c>
      <c r="O16" s="52" t="s">
        <v>45</v>
      </c>
      <c r="P16" s="49"/>
      <c r="Q16" s="53">
        <v>0.1</v>
      </c>
      <c r="R16" s="85">
        <f>ROUNDUP(Q16*0.75,2)</f>
        <v>0.08</v>
      </c>
    </row>
    <row r="17" spans="1:18" ht="24.95" customHeight="1">
      <c r="A17" s="333"/>
      <c r="B17" s="62"/>
      <c r="C17" s="48"/>
      <c r="D17" s="49"/>
      <c r="E17" s="50"/>
      <c r="F17" s="51"/>
      <c r="G17" s="66"/>
      <c r="H17" s="70"/>
      <c r="I17" s="49"/>
      <c r="J17" s="51"/>
      <c r="K17" s="51"/>
      <c r="L17" s="51"/>
      <c r="M17" s="74"/>
      <c r="N17" s="62" t="s">
        <v>18</v>
      </c>
      <c r="O17" s="52" t="s">
        <v>102</v>
      </c>
      <c r="P17" s="49"/>
      <c r="Q17" s="53">
        <v>2</v>
      </c>
      <c r="R17" s="85">
        <f>ROUNDUP(Q17*0.75,2)</f>
        <v>1.5</v>
      </c>
    </row>
    <row r="18" spans="1:18" ht="24.95" customHeight="1">
      <c r="A18" s="333"/>
      <c r="B18" s="62"/>
      <c r="C18" s="48"/>
      <c r="D18" s="49"/>
      <c r="E18" s="50"/>
      <c r="F18" s="51"/>
      <c r="G18" s="66"/>
      <c r="H18" s="70"/>
      <c r="I18" s="49"/>
      <c r="J18" s="51"/>
      <c r="K18" s="51"/>
      <c r="L18" s="51"/>
      <c r="M18" s="74"/>
      <c r="N18" s="62"/>
      <c r="O18" s="52" t="s">
        <v>24</v>
      </c>
      <c r="P18" s="49"/>
      <c r="Q18" s="53">
        <v>2</v>
      </c>
      <c r="R18" s="85">
        <f>ROUNDUP(Q18*0.75,2)</f>
        <v>1.5</v>
      </c>
    </row>
    <row r="19" spans="1:18" ht="24.95" customHeight="1">
      <c r="A19" s="333"/>
      <c r="B19" s="61"/>
      <c r="C19" s="42"/>
      <c r="D19" s="43"/>
      <c r="E19" s="44"/>
      <c r="F19" s="45"/>
      <c r="G19" s="65"/>
      <c r="H19" s="69"/>
      <c r="I19" s="43"/>
      <c r="J19" s="45"/>
      <c r="K19" s="45"/>
      <c r="L19" s="45"/>
      <c r="M19" s="73"/>
      <c r="N19" s="61"/>
      <c r="O19" s="46"/>
      <c r="P19" s="43"/>
      <c r="Q19" s="47"/>
      <c r="R19" s="84"/>
    </row>
    <row r="20" spans="1:18" ht="24.95" customHeight="1">
      <c r="A20" s="333"/>
      <c r="B20" s="62" t="s">
        <v>145</v>
      </c>
      <c r="C20" s="48" t="s">
        <v>147</v>
      </c>
      <c r="D20" s="49"/>
      <c r="E20" s="79">
        <v>0.125</v>
      </c>
      <c r="F20" s="51" t="s">
        <v>40</v>
      </c>
      <c r="G20" s="66"/>
      <c r="H20" s="70" t="s">
        <v>147</v>
      </c>
      <c r="I20" s="49"/>
      <c r="J20" s="51">
        <f>ROUNDUP(E20*0.75,2)</f>
        <v>9.9999999999999992E-2</v>
      </c>
      <c r="K20" s="51" t="s">
        <v>40</v>
      </c>
      <c r="L20" s="51"/>
      <c r="M20" s="74" t="e">
        <f>#REF!</f>
        <v>#REF!</v>
      </c>
      <c r="N20" s="62" t="s">
        <v>146</v>
      </c>
      <c r="O20" s="52"/>
      <c r="P20" s="49"/>
      <c r="Q20" s="53"/>
      <c r="R20" s="85"/>
    </row>
    <row r="21" spans="1:18" ht="24.95" customHeight="1" thickBot="1">
      <c r="A21" s="334"/>
      <c r="B21" s="63"/>
      <c r="C21" s="54"/>
      <c r="D21" s="55"/>
      <c r="E21" s="56"/>
      <c r="F21" s="57"/>
      <c r="G21" s="67"/>
      <c r="H21" s="71"/>
      <c r="I21" s="55"/>
      <c r="J21" s="57"/>
      <c r="K21" s="57"/>
      <c r="L21" s="57"/>
      <c r="M21" s="75"/>
      <c r="N21" s="63"/>
      <c r="O21" s="58"/>
      <c r="P21" s="55"/>
      <c r="Q21" s="59"/>
      <c r="R21" s="86"/>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2.5" customHeight="1">
      <c r="A3" s="5"/>
      <c r="B3" s="336" t="s">
        <v>284</v>
      </c>
      <c r="C3" s="336"/>
      <c r="D3" s="3"/>
      <c r="E3" s="6"/>
      <c r="F3" s="2"/>
      <c r="G3" s="2"/>
      <c r="H3" s="2"/>
      <c r="I3" s="3"/>
      <c r="J3" s="2"/>
      <c r="K3" s="7"/>
      <c r="L3" s="7"/>
      <c r="M3" s="8"/>
      <c r="N3" s="2"/>
      <c r="O3"/>
      <c r="P3"/>
      <c r="Q3"/>
      <c r="R3"/>
      <c r="S3" s="3"/>
    </row>
    <row r="4" spans="1:19" ht="22.5" customHeight="1">
      <c r="A4" s="5"/>
      <c r="B4" s="336"/>
      <c r="C4" s="336"/>
      <c r="D4" s="9"/>
      <c r="E4" s="6"/>
      <c r="F4" s="2"/>
      <c r="G4" s="2"/>
      <c r="H4" s="2"/>
      <c r="I4" s="9"/>
      <c r="J4" s="2"/>
      <c r="K4" s="7"/>
      <c r="L4" s="7"/>
      <c r="M4" s="8"/>
      <c r="N4" s="2"/>
      <c r="O4"/>
      <c r="P4"/>
      <c r="Q4"/>
      <c r="R4"/>
      <c r="S4" s="3"/>
    </row>
    <row r="5" spans="1:19" ht="27.75" customHeight="1" thickBot="1">
      <c r="A5" s="330" t="s">
        <v>245</v>
      </c>
      <c r="B5" s="331"/>
      <c r="C5" s="331"/>
      <c r="D5" s="331"/>
      <c r="E5" s="331"/>
      <c r="F5" s="331"/>
      <c r="G5" s="2"/>
      <c r="H5" s="2"/>
      <c r="I5" s="12"/>
      <c r="J5" s="2"/>
      <c r="K5" s="7"/>
      <c r="L5" s="7"/>
      <c r="M5" s="10"/>
      <c r="N5" s="2"/>
      <c r="O5" s="13"/>
      <c r="P5" s="12"/>
      <c r="Q5" s="14"/>
      <c r="R5" s="14"/>
      <c r="S5" s="11"/>
    </row>
    <row r="6" spans="1:19" customFormat="1" ht="42" customHeight="1" thickBot="1">
      <c r="A6" s="15"/>
      <c r="B6" s="16" t="s">
        <v>1</v>
      </c>
      <c r="C6" s="17" t="s">
        <v>2</v>
      </c>
      <c r="D6" s="18" t="s">
        <v>292</v>
      </c>
      <c r="E6" s="34" t="s">
        <v>6</v>
      </c>
      <c r="F6" s="19" t="s">
        <v>4</v>
      </c>
      <c r="G6" s="17" t="s">
        <v>5</v>
      </c>
      <c r="H6" s="16" t="s">
        <v>2</v>
      </c>
      <c r="I6" s="18" t="s">
        <v>292</v>
      </c>
      <c r="J6" s="35" t="s">
        <v>3</v>
      </c>
      <c r="K6" s="19" t="s">
        <v>4</v>
      </c>
      <c r="L6" s="19" t="s">
        <v>5</v>
      </c>
      <c r="M6" s="21" t="s">
        <v>7</v>
      </c>
      <c r="N6" s="22" t="s">
        <v>8</v>
      </c>
      <c r="O6" s="19" t="s">
        <v>9</v>
      </c>
      <c r="P6" s="23" t="s">
        <v>292</v>
      </c>
      <c r="Q6" s="20" t="s">
        <v>11</v>
      </c>
      <c r="R6" s="24" t="s">
        <v>10</v>
      </c>
      <c r="S6" s="25"/>
    </row>
    <row r="7" spans="1:19" ht="18.75" customHeight="1">
      <c r="A7" s="332" t="s">
        <v>51</v>
      </c>
      <c r="B7" s="60" t="s">
        <v>246</v>
      </c>
      <c r="C7" s="36" t="s">
        <v>137</v>
      </c>
      <c r="D7" s="37"/>
      <c r="E7" s="38">
        <v>5</v>
      </c>
      <c r="F7" s="39" t="s">
        <v>34</v>
      </c>
      <c r="G7" s="64"/>
      <c r="H7" s="68" t="s">
        <v>137</v>
      </c>
      <c r="I7" s="37"/>
      <c r="J7" s="39">
        <f>ROUNDUP(E7*0.75,2)</f>
        <v>3.75</v>
      </c>
      <c r="K7" s="39" t="s">
        <v>34</v>
      </c>
      <c r="L7" s="39"/>
      <c r="M7" s="72" t="e">
        <f>ROUND(#REF!+(#REF!*10/100),2)</f>
        <v>#REF!</v>
      </c>
      <c r="N7" s="60" t="s">
        <v>247</v>
      </c>
      <c r="O7" s="40" t="s">
        <v>13</v>
      </c>
      <c r="P7" s="37"/>
      <c r="Q7" s="41">
        <v>110</v>
      </c>
      <c r="R7" s="83">
        <f>ROUNDUP(Q7*0.75,2)</f>
        <v>82.5</v>
      </c>
    </row>
    <row r="8" spans="1:19" ht="18.75" customHeight="1">
      <c r="A8" s="333"/>
      <c r="B8" s="62"/>
      <c r="C8" s="48" t="s">
        <v>205</v>
      </c>
      <c r="D8" s="49" t="s">
        <v>207</v>
      </c>
      <c r="E8" s="78">
        <v>0.1</v>
      </c>
      <c r="F8" s="51" t="s">
        <v>90</v>
      </c>
      <c r="G8" s="66" t="s">
        <v>206</v>
      </c>
      <c r="H8" s="70" t="s">
        <v>205</v>
      </c>
      <c r="I8" s="49" t="s">
        <v>207</v>
      </c>
      <c r="J8" s="51">
        <f>ROUNDUP(E8*0.75,2)</f>
        <v>0.08</v>
      </c>
      <c r="K8" s="51" t="s">
        <v>90</v>
      </c>
      <c r="L8" s="51" t="s">
        <v>206</v>
      </c>
      <c r="M8" s="74" t="e">
        <f>#REF!</f>
        <v>#REF!</v>
      </c>
      <c r="N8" s="62" t="s">
        <v>248</v>
      </c>
      <c r="O8" s="52" t="s">
        <v>204</v>
      </c>
      <c r="P8" s="49" t="s">
        <v>140</v>
      </c>
      <c r="Q8" s="53">
        <v>0.5</v>
      </c>
      <c r="R8" s="85">
        <f>ROUNDUP(Q8*0.75,2)</f>
        <v>0.38</v>
      </c>
    </row>
    <row r="9" spans="1:19" ht="18.75" customHeight="1">
      <c r="A9" s="333"/>
      <c r="B9" s="62"/>
      <c r="C9" s="48" t="s">
        <v>233</v>
      </c>
      <c r="D9" s="49" t="s">
        <v>148</v>
      </c>
      <c r="E9" s="77">
        <v>0.5</v>
      </c>
      <c r="F9" s="51" t="s">
        <v>234</v>
      </c>
      <c r="G9" s="66" t="s">
        <v>53</v>
      </c>
      <c r="H9" s="70" t="s">
        <v>233</v>
      </c>
      <c r="I9" s="49" t="s">
        <v>148</v>
      </c>
      <c r="J9" s="51">
        <f>ROUNDUP(E9*0.75,2)</f>
        <v>0.38</v>
      </c>
      <c r="K9" s="51" t="s">
        <v>234</v>
      </c>
      <c r="L9" s="51" t="s">
        <v>53</v>
      </c>
      <c r="M9" s="74" t="e">
        <f>#REF!</f>
        <v>#REF!</v>
      </c>
      <c r="N9" s="62" t="s">
        <v>249</v>
      </c>
      <c r="O9" s="52" t="s">
        <v>25</v>
      </c>
      <c r="P9" s="49" t="s">
        <v>26</v>
      </c>
      <c r="Q9" s="53">
        <v>1.5</v>
      </c>
      <c r="R9" s="85">
        <f>ROUNDUP(Q9*0.75,2)</f>
        <v>1.1300000000000001</v>
      </c>
    </row>
    <row r="10" spans="1:19" ht="18.75" customHeight="1">
      <c r="A10" s="333"/>
      <c r="B10" s="62"/>
      <c r="C10" s="48" t="s">
        <v>253</v>
      </c>
      <c r="D10" s="49" t="s">
        <v>26</v>
      </c>
      <c r="E10" s="77">
        <v>0.5</v>
      </c>
      <c r="F10" s="51" t="s">
        <v>59</v>
      </c>
      <c r="G10" s="66" t="s">
        <v>53</v>
      </c>
      <c r="H10" s="70" t="s">
        <v>253</v>
      </c>
      <c r="I10" s="49" t="s">
        <v>26</v>
      </c>
      <c r="J10" s="51">
        <f>ROUNDUP(E10*0.75,2)</f>
        <v>0.38</v>
      </c>
      <c r="K10" s="51" t="s">
        <v>59</v>
      </c>
      <c r="L10" s="51" t="s">
        <v>53</v>
      </c>
      <c r="M10" s="74" t="e">
        <f>#REF!</f>
        <v>#REF!</v>
      </c>
      <c r="N10" s="62" t="s">
        <v>250</v>
      </c>
      <c r="O10" s="52"/>
      <c r="P10" s="49"/>
      <c r="Q10" s="53"/>
      <c r="R10" s="85"/>
    </row>
    <row r="11" spans="1:19" ht="18.75" customHeight="1">
      <c r="A11" s="333"/>
      <c r="B11" s="62"/>
      <c r="C11" s="48" t="s">
        <v>65</v>
      </c>
      <c r="D11" s="49"/>
      <c r="E11" s="50">
        <v>3</v>
      </c>
      <c r="F11" s="51" t="s">
        <v>34</v>
      </c>
      <c r="G11" s="66" t="s">
        <v>33</v>
      </c>
      <c r="H11" s="70" t="s">
        <v>65</v>
      </c>
      <c r="I11" s="49"/>
      <c r="J11" s="51">
        <f>ROUNDUP(E11*0.75,2)</f>
        <v>2.25</v>
      </c>
      <c r="K11" s="51" t="s">
        <v>34</v>
      </c>
      <c r="L11" s="51" t="s">
        <v>33</v>
      </c>
      <c r="M11" s="74" t="e">
        <f>#REF!</f>
        <v>#REF!</v>
      </c>
      <c r="N11" s="62" t="s">
        <v>251</v>
      </c>
      <c r="O11" s="52"/>
      <c r="P11" s="49"/>
      <c r="Q11" s="53"/>
      <c r="R11" s="85"/>
    </row>
    <row r="12" spans="1:19" ht="18.75" customHeight="1">
      <c r="A12" s="333"/>
      <c r="B12" s="62"/>
      <c r="C12" s="48"/>
      <c r="D12" s="49"/>
      <c r="E12" s="50"/>
      <c r="F12" s="51"/>
      <c r="G12" s="66"/>
      <c r="H12" s="70"/>
      <c r="I12" s="49"/>
      <c r="J12" s="51"/>
      <c r="K12" s="51"/>
      <c r="L12" s="51"/>
      <c r="M12" s="74"/>
      <c r="N12" s="62" t="s">
        <v>252</v>
      </c>
      <c r="O12" s="52"/>
      <c r="P12" s="49"/>
      <c r="Q12" s="53"/>
      <c r="R12" s="85"/>
    </row>
    <row r="13" spans="1:19" ht="18.75" customHeight="1">
      <c r="A13" s="333"/>
      <c r="B13" s="62"/>
      <c r="C13" s="48"/>
      <c r="D13" s="49"/>
      <c r="E13" s="50"/>
      <c r="F13" s="51"/>
      <c r="G13" s="66"/>
      <c r="H13" s="70"/>
      <c r="I13" s="49"/>
      <c r="J13" s="51"/>
      <c r="K13" s="51"/>
      <c r="L13" s="51"/>
      <c r="M13" s="74"/>
      <c r="N13" s="62" t="s">
        <v>18</v>
      </c>
      <c r="O13" s="52"/>
      <c r="P13" s="49"/>
      <c r="Q13" s="53"/>
      <c r="R13" s="85"/>
    </row>
    <row r="14" spans="1:19" ht="18.75" customHeight="1">
      <c r="A14" s="333"/>
      <c r="B14" s="61"/>
      <c r="C14" s="42"/>
      <c r="D14" s="43"/>
      <c r="E14" s="44"/>
      <c r="F14" s="45"/>
      <c r="G14" s="65"/>
      <c r="H14" s="69"/>
      <c r="I14" s="43"/>
      <c r="J14" s="45"/>
      <c r="K14" s="45"/>
      <c r="L14" s="45"/>
      <c r="M14" s="73"/>
      <c r="N14" s="61"/>
      <c r="O14" s="46"/>
      <c r="P14" s="43"/>
      <c r="Q14" s="47"/>
      <c r="R14" s="84"/>
    </row>
    <row r="15" spans="1:19" ht="18.75" customHeight="1">
      <c r="A15" s="333"/>
      <c r="B15" s="62" t="s">
        <v>159</v>
      </c>
      <c r="C15" s="48" t="s">
        <v>108</v>
      </c>
      <c r="D15" s="49"/>
      <c r="E15" s="50">
        <v>1</v>
      </c>
      <c r="F15" s="51" t="s">
        <v>21</v>
      </c>
      <c r="G15" s="66" t="s">
        <v>109</v>
      </c>
      <c r="H15" s="70" t="s">
        <v>108</v>
      </c>
      <c r="I15" s="49"/>
      <c r="J15" s="51">
        <f>ROUNDUP(E15*0.75,2)</f>
        <v>0.75</v>
      </c>
      <c r="K15" s="51" t="s">
        <v>21</v>
      </c>
      <c r="L15" s="51" t="s">
        <v>109</v>
      </c>
      <c r="M15" s="74" t="e">
        <f>#REF!</f>
        <v>#REF!</v>
      </c>
      <c r="N15" s="62" t="s">
        <v>160</v>
      </c>
      <c r="O15" s="52" t="s">
        <v>30</v>
      </c>
      <c r="P15" s="49" t="s">
        <v>31</v>
      </c>
      <c r="Q15" s="53">
        <v>10</v>
      </c>
      <c r="R15" s="85">
        <f>ROUNDUP(Q15*0.75,2)</f>
        <v>7.5</v>
      </c>
    </row>
    <row r="16" spans="1:19" ht="18.75" customHeight="1">
      <c r="A16" s="333"/>
      <c r="B16" s="62"/>
      <c r="C16" s="48" t="s">
        <v>166</v>
      </c>
      <c r="D16" s="49"/>
      <c r="E16" s="50">
        <v>0.5</v>
      </c>
      <c r="F16" s="51" t="s">
        <v>34</v>
      </c>
      <c r="G16" s="66"/>
      <c r="H16" s="70" t="s">
        <v>166</v>
      </c>
      <c r="I16" s="49"/>
      <c r="J16" s="51">
        <f>ROUNDUP(E16*0.75,2)</f>
        <v>0.38</v>
      </c>
      <c r="K16" s="51" t="s">
        <v>34</v>
      </c>
      <c r="L16" s="51"/>
      <c r="M16" s="74" t="e">
        <f>#REF!</f>
        <v>#REF!</v>
      </c>
      <c r="N16" s="62" t="s">
        <v>161</v>
      </c>
      <c r="O16" s="52" t="s">
        <v>45</v>
      </c>
      <c r="P16" s="49"/>
      <c r="Q16" s="53">
        <v>0.1</v>
      </c>
      <c r="R16" s="85">
        <f>ROUNDUP(Q16*0.75,2)</f>
        <v>0.08</v>
      </c>
    </row>
    <row r="17" spans="1:18" ht="18.75" customHeight="1">
      <c r="A17" s="333"/>
      <c r="B17" s="62"/>
      <c r="C17" s="48" t="s">
        <v>167</v>
      </c>
      <c r="D17" s="49"/>
      <c r="E17" s="50">
        <v>20</v>
      </c>
      <c r="F17" s="51" t="s">
        <v>34</v>
      </c>
      <c r="G17" s="66"/>
      <c r="H17" s="70" t="s">
        <v>167</v>
      </c>
      <c r="I17" s="49"/>
      <c r="J17" s="51">
        <f>ROUNDUP(E17*0.75,2)</f>
        <v>15</v>
      </c>
      <c r="K17" s="51" t="s">
        <v>34</v>
      </c>
      <c r="L17" s="51"/>
      <c r="M17" s="74" t="e">
        <f>ROUND(#REF!+(#REF!*3/100),2)</f>
        <v>#REF!</v>
      </c>
      <c r="N17" s="62" t="s">
        <v>162</v>
      </c>
      <c r="O17" s="52" t="s">
        <v>46</v>
      </c>
      <c r="P17" s="49"/>
      <c r="Q17" s="53">
        <v>0.01</v>
      </c>
      <c r="R17" s="85">
        <f>ROUNDUP(Q17*0.75,2)</f>
        <v>0.01</v>
      </c>
    </row>
    <row r="18" spans="1:18" ht="18.75" customHeight="1">
      <c r="A18" s="333"/>
      <c r="B18" s="62"/>
      <c r="C18" s="48" t="s">
        <v>168</v>
      </c>
      <c r="D18" s="49"/>
      <c r="E18" s="50">
        <v>0.5</v>
      </c>
      <c r="F18" s="51" t="s">
        <v>34</v>
      </c>
      <c r="G18" s="66"/>
      <c r="H18" s="70" t="s">
        <v>168</v>
      </c>
      <c r="I18" s="49"/>
      <c r="J18" s="51">
        <f>ROUNDUP(E18*0.75,2)</f>
        <v>0.38</v>
      </c>
      <c r="K18" s="51" t="s">
        <v>34</v>
      </c>
      <c r="L18" s="51"/>
      <c r="M18" s="74" t="e">
        <f>ROUND(#REF!+(#REF!*10/100),2)</f>
        <v>#REF!</v>
      </c>
      <c r="N18" s="62" t="s">
        <v>163</v>
      </c>
      <c r="O18" s="52" t="s">
        <v>22</v>
      </c>
      <c r="P18" s="49" t="s">
        <v>23</v>
      </c>
      <c r="Q18" s="53">
        <v>3</v>
      </c>
      <c r="R18" s="85">
        <f>ROUNDUP(Q18*0.75,2)</f>
        <v>2.25</v>
      </c>
    </row>
    <row r="19" spans="1:18" ht="18.75" customHeight="1">
      <c r="A19" s="333"/>
      <c r="B19" s="62"/>
      <c r="C19" s="48"/>
      <c r="D19" s="49"/>
      <c r="E19" s="50"/>
      <c r="F19" s="51"/>
      <c r="G19" s="66"/>
      <c r="H19" s="70"/>
      <c r="I19" s="49"/>
      <c r="J19" s="51"/>
      <c r="K19" s="51"/>
      <c r="L19" s="51"/>
      <c r="M19" s="74"/>
      <c r="N19" s="62" t="s">
        <v>164</v>
      </c>
      <c r="O19" s="52" t="s">
        <v>24</v>
      </c>
      <c r="P19" s="49"/>
      <c r="Q19" s="53">
        <v>1</v>
      </c>
      <c r="R19" s="85">
        <f>ROUNDUP(Q19*0.75,2)</f>
        <v>0.75</v>
      </c>
    </row>
    <row r="20" spans="1:18" ht="18.75" customHeight="1">
      <c r="A20" s="333"/>
      <c r="B20" s="62"/>
      <c r="C20" s="48"/>
      <c r="D20" s="49"/>
      <c r="E20" s="50"/>
      <c r="F20" s="51"/>
      <c r="G20" s="66"/>
      <c r="H20" s="70"/>
      <c r="I20" s="49"/>
      <c r="J20" s="51"/>
      <c r="K20" s="51"/>
      <c r="L20" s="51"/>
      <c r="M20" s="74"/>
      <c r="N20" s="62" t="s">
        <v>165</v>
      </c>
      <c r="O20" s="52"/>
      <c r="P20" s="49"/>
      <c r="Q20" s="53"/>
      <c r="R20" s="85"/>
    </row>
    <row r="21" spans="1:18" ht="18.75" customHeight="1">
      <c r="A21" s="333"/>
      <c r="B21" s="62"/>
      <c r="C21" s="48"/>
      <c r="D21" s="49"/>
      <c r="E21" s="50"/>
      <c r="F21" s="51"/>
      <c r="G21" s="66"/>
      <c r="H21" s="70"/>
      <c r="I21" s="49"/>
      <c r="J21" s="51"/>
      <c r="K21" s="51"/>
      <c r="L21" s="51"/>
      <c r="M21" s="74"/>
      <c r="N21" s="62" t="s">
        <v>18</v>
      </c>
      <c r="O21" s="52"/>
      <c r="P21" s="49"/>
      <c r="Q21" s="53"/>
      <c r="R21" s="85"/>
    </row>
    <row r="22" spans="1:18" ht="18.75" customHeight="1">
      <c r="A22" s="333"/>
      <c r="B22" s="61"/>
      <c r="C22" s="42"/>
      <c r="D22" s="43"/>
      <c r="E22" s="44"/>
      <c r="F22" s="45"/>
      <c r="G22" s="65"/>
      <c r="H22" s="69"/>
      <c r="I22" s="43"/>
      <c r="J22" s="45"/>
      <c r="K22" s="45"/>
      <c r="L22" s="45"/>
      <c r="M22" s="73"/>
      <c r="N22" s="61"/>
      <c r="O22" s="46"/>
      <c r="P22" s="43"/>
      <c r="Q22" s="47"/>
      <c r="R22" s="84"/>
    </row>
    <row r="23" spans="1:18" ht="18.75" customHeight="1">
      <c r="A23" s="333"/>
      <c r="B23" s="62" t="s">
        <v>169</v>
      </c>
      <c r="C23" s="48" t="s">
        <v>173</v>
      </c>
      <c r="D23" s="49"/>
      <c r="E23" s="50">
        <v>30</v>
      </c>
      <c r="F23" s="51" t="s">
        <v>34</v>
      </c>
      <c r="G23" s="66"/>
      <c r="H23" s="70" t="s">
        <v>173</v>
      </c>
      <c r="I23" s="49"/>
      <c r="J23" s="51">
        <f>ROUNDUP(E23*0.75,2)</f>
        <v>22.5</v>
      </c>
      <c r="K23" s="51" t="s">
        <v>34</v>
      </c>
      <c r="L23" s="51"/>
      <c r="M23" s="74" t="e">
        <f>ROUND(#REF!+(#REF!*10/100),2)</f>
        <v>#REF!</v>
      </c>
      <c r="N23" s="62" t="s">
        <v>170</v>
      </c>
      <c r="O23" s="52" t="s">
        <v>24</v>
      </c>
      <c r="P23" s="49"/>
      <c r="Q23" s="53">
        <v>2</v>
      </c>
      <c r="R23" s="85">
        <f>ROUNDUP(Q23*0.75,2)</f>
        <v>1.5</v>
      </c>
    </row>
    <row r="24" spans="1:18" ht="18.75" customHeight="1">
      <c r="A24" s="333"/>
      <c r="B24" s="62"/>
      <c r="C24" s="48" t="s">
        <v>174</v>
      </c>
      <c r="D24" s="49"/>
      <c r="E24" s="50">
        <v>5</v>
      </c>
      <c r="F24" s="51" t="s">
        <v>34</v>
      </c>
      <c r="G24" s="66"/>
      <c r="H24" s="70" t="s">
        <v>174</v>
      </c>
      <c r="I24" s="49"/>
      <c r="J24" s="51">
        <f>ROUNDUP(E24*0.75,2)</f>
        <v>3.75</v>
      </c>
      <c r="K24" s="51" t="s">
        <v>34</v>
      </c>
      <c r="L24" s="51"/>
      <c r="M24" s="74" t="e">
        <f>ROUND(#REF!+(#REF!*15/100),2)</f>
        <v>#REF!</v>
      </c>
      <c r="N24" s="62" t="s">
        <v>171</v>
      </c>
      <c r="O24" s="52" t="s">
        <v>36</v>
      </c>
      <c r="P24" s="49"/>
      <c r="Q24" s="53">
        <v>10</v>
      </c>
      <c r="R24" s="85">
        <f>ROUNDUP(Q24*0.75,2)</f>
        <v>7.5</v>
      </c>
    </row>
    <row r="25" spans="1:18" ht="18.75" customHeight="1">
      <c r="A25" s="333"/>
      <c r="B25" s="62"/>
      <c r="C25" s="48"/>
      <c r="D25" s="49"/>
      <c r="E25" s="50"/>
      <c r="F25" s="51"/>
      <c r="G25" s="66"/>
      <c r="H25" s="70"/>
      <c r="I25" s="49"/>
      <c r="J25" s="51"/>
      <c r="K25" s="51"/>
      <c r="L25" s="51"/>
      <c r="M25" s="74"/>
      <c r="N25" s="62" t="s">
        <v>172</v>
      </c>
      <c r="O25" s="52" t="s">
        <v>28</v>
      </c>
      <c r="P25" s="49"/>
      <c r="Q25" s="53">
        <v>1.5</v>
      </c>
      <c r="R25" s="85">
        <f>ROUNDUP(Q25*0.75,2)</f>
        <v>1.1300000000000001</v>
      </c>
    </row>
    <row r="26" spans="1:18" ht="18.75" customHeight="1">
      <c r="A26" s="333"/>
      <c r="B26" s="62"/>
      <c r="C26" s="48"/>
      <c r="D26" s="49"/>
      <c r="E26" s="50"/>
      <c r="F26" s="51"/>
      <c r="G26" s="66"/>
      <c r="H26" s="70"/>
      <c r="I26" s="49"/>
      <c r="J26" s="51"/>
      <c r="K26" s="51"/>
      <c r="L26" s="51"/>
      <c r="M26" s="74"/>
      <c r="N26" s="62" t="s">
        <v>18</v>
      </c>
      <c r="O26" s="52" t="s">
        <v>27</v>
      </c>
      <c r="P26" s="49"/>
      <c r="Q26" s="53">
        <v>0.5</v>
      </c>
      <c r="R26" s="85">
        <f>ROUNDUP(Q26*0.75,2)</f>
        <v>0.38</v>
      </c>
    </row>
    <row r="27" spans="1:18" ht="18.75" customHeight="1">
      <c r="A27" s="333"/>
      <c r="B27" s="62"/>
      <c r="C27" s="48"/>
      <c r="D27" s="49"/>
      <c r="E27" s="50"/>
      <c r="F27" s="51"/>
      <c r="G27" s="66"/>
      <c r="H27" s="70"/>
      <c r="I27" s="49"/>
      <c r="J27" s="51"/>
      <c r="K27" s="51"/>
      <c r="L27" s="51"/>
      <c r="M27" s="74"/>
      <c r="N27" s="62"/>
      <c r="O27" s="52" t="s">
        <v>35</v>
      </c>
      <c r="P27" s="49" t="s">
        <v>23</v>
      </c>
      <c r="Q27" s="53">
        <v>1.5</v>
      </c>
      <c r="R27" s="85">
        <f>ROUNDUP(Q27*0.75,2)</f>
        <v>1.1300000000000001</v>
      </c>
    </row>
    <row r="28" spans="1:18" ht="18.75" customHeight="1">
      <c r="A28" s="333"/>
      <c r="B28" s="61"/>
      <c r="C28" s="42"/>
      <c r="D28" s="43"/>
      <c r="E28" s="44"/>
      <c r="F28" s="45"/>
      <c r="G28" s="65"/>
      <c r="H28" s="69"/>
      <c r="I28" s="43"/>
      <c r="J28" s="45"/>
      <c r="K28" s="45"/>
      <c r="L28" s="45"/>
      <c r="M28" s="73"/>
      <c r="N28" s="61"/>
      <c r="O28" s="46"/>
      <c r="P28" s="43"/>
      <c r="Q28" s="47"/>
      <c r="R28" s="84"/>
    </row>
    <row r="29" spans="1:18" ht="18.75" customHeight="1">
      <c r="A29" s="333"/>
      <c r="B29" s="62" t="s">
        <v>175</v>
      </c>
      <c r="C29" s="48" t="s">
        <v>176</v>
      </c>
      <c r="D29" s="49"/>
      <c r="E29" s="81">
        <v>0.16666666666666666</v>
      </c>
      <c r="F29" s="51" t="s">
        <v>40</v>
      </c>
      <c r="G29" s="66"/>
      <c r="H29" s="70" t="s">
        <v>176</v>
      </c>
      <c r="I29" s="49"/>
      <c r="J29" s="51">
        <f>ROUNDUP(E29*0.75,2)</f>
        <v>0.13</v>
      </c>
      <c r="K29" s="51" t="s">
        <v>40</v>
      </c>
      <c r="L29" s="51"/>
      <c r="M29" s="74" t="e">
        <f>#REF!</f>
        <v>#REF!</v>
      </c>
      <c r="N29" s="62" t="s">
        <v>146</v>
      </c>
      <c r="O29" s="52"/>
      <c r="P29" s="49"/>
      <c r="Q29" s="53"/>
      <c r="R29" s="85"/>
    </row>
    <row r="30" spans="1:18" ht="18.75" customHeight="1" thickBot="1">
      <c r="A30" s="334"/>
      <c r="B30" s="63"/>
      <c r="C30" s="54"/>
      <c r="D30" s="55"/>
      <c r="E30" s="56"/>
      <c r="F30" s="57"/>
      <c r="G30" s="67"/>
      <c r="H30" s="71"/>
      <c r="I30" s="55"/>
      <c r="J30" s="57"/>
      <c r="K30" s="57"/>
      <c r="L30" s="57"/>
      <c r="M30" s="75"/>
      <c r="N30" s="63"/>
      <c r="O30" s="58"/>
      <c r="P30" s="55"/>
      <c r="Q30" s="59"/>
      <c r="R30" s="86"/>
    </row>
    <row r="31" spans="1:18" ht="18.75" customHeight="1">
      <c r="P31" s="341" t="s">
        <v>285</v>
      </c>
      <c r="Q31" s="341"/>
      <c r="R31" s="341"/>
    </row>
  </sheetData>
  <mergeCells count="6">
    <mergeCell ref="P31:R31"/>
    <mergeCell ref="H1:N1"/>
    <mergeCell ref="A2:R2"/>
    <mergeCell ref="A5:F5"/>
    <mergeCell ref="A7:A30"/>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254</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180</v>
      </c>
      <c r="C7" s="48" t="s">
        <v>101</v>
      </c>
      <c r="D7" s="49"/>
      <c r="E7" s="50">
        <v>40</v>
      </c>
      <c r="F7" s="51" t="s">
        <v>34</v>
      </c>
      <c r="G7" s="66" t="s">
        <v>58</v>
      </c>
      <c r="H7" s="70" t="s">
        <v>101</v>
      </c>
      <c r="I7" s="49"/>
      <c r="J7" s="51">
        <f t="shared" ref="J7:J12" si="0">ROUNDUP(E7*0.75,2)</f>
        <v>30</v>
      </c>
      <c r="K7" s="51" t="s">
        <v>34</v>
      </c>
      <c r="L7" s="51" t="s">
        <v>58</v>
      </c>
      <c r="M7" s="74" t="e">
        <f>#REF!</f>
        <v>#REF!</v>
      </c>
      <c r="N7" s="62" t="s">
        <v>181</v>
      </c>
      <c r="O7" s="52" t="s">
        <v>24</v>
      </c>
      <c r="P7" s="49"/>
      <c r="Q7" s="53">
        <v>1</v>
      </c>
      <c r="R7" s="85">
        <f t="shared" ref="R7:R16" si="1">ROUNDUP(Q7*0.75,2)</f>
        <v>0.75</v>
      </c>
    </row>
    <row r="8" spans="1:19" ht="24.95" customHeight="1">
      <c r="A8" s="333"/>
      <c r="B8" s="62"/>
      <c r="C8" s="48" t="s">
        <v>135</v>
      </c>
      <c r="D8" s="49"/>
      <c r="E8" s="50">
        <v>20</v>
      </c>
      <c r="F8" s="51" t="s">
        <v>34</v>
      </c>
      <c r="G8" s="66"/>
      <c r="H8" s="70" t="s">
        <v>135</v>
      </c>
      <c r="I8" s="49"/>
      <c r="J8" s="51">
        <f t="shared" si="0"/>
        <v>15</v>
      </c>
      <c r="K8" s="51" t="s">
        <v>34</v>
      </c>
      <c r="L8" s="51"/>
      <c r="M8" s="74" t="e">
        <f>ROUND(#REF!+(#REF!*6/100),2)</f>
        <v>#REF!</v>
      </c>
      <c r="N8" s="62" t="s">
        <v>182</v>
      </c>
      <c r="O8" s="52" t="s">
        <v>45</v>
      </c>
      <c r="P8" s="49"/>
      <c r="Q8" s="53">
        <v>0.1</v>
      </c>
      <c r="R8" s="85">
        <f t="shared" si="1"/>
        <v>0.08</v>
      </c>
    </row>
    <row r="9" spans="1:19" ht="24.95" customHeight="1">
      <c r="A9" s="333"/>
      <c r="B9" s="62"/>
      <c r="C9" s="48" t="s">
        <v>97</v>
      </c>
      <c r="D9" s="49" t="s">
        <v>23</v>
      </c>
      <c r="E9" s="50">
        <v>5</v>
      </c>
      <c r="F9" s="51" t="s">
        <v>34</v>
      </c>
      <c r="G9" s="66" t="s">
        <v>98</v>
      </c>
      <c r="H9" s="70" t="s">
        <v>97</v>
      </c>
      <c r="I9" s="49" t="s">
        <v>23</v>
      </c>
      <c r="J9" s="51">
        <f t="shared" si="0"/>
        <v>3.75</v>
      </c>
      <c r="K9" s="51" t="s">
        <v>34</v>
      </c>
      <c r="L9" s="51" t="s">
        <v>98</v>
      </c>
      <c r="M9" s="74" t="e">
        <f>#REF!</f>
        <v>#REF!</v>
      </c>
      <c r="N9" s="62" t="s">
        <v>183</v>
      </c>
      <c r="O9" s="52" t="s">
        <v>46</v>
      </c>
      <c r="P9" s="49"/>
      <c r="Q9" s="53">
        <v>0.01</v>
      </c>
      <c r="R9" s="85">
        <f t="shared" si="1"/>
        <v>0.01</v>
      </c>
    </row>
    <row r="10" spans="1:19" ht="24.95" customHeight="1">
      <c r="A10" s="333"/>
      <c r="B10" s="62"/>
      <c r="C10" s="48" t="s">
        <v>89</v>
      </c>
      <c r="D10" s="49"/>
      <c r="E10" s="50">
        <v>5</v>
      </c>
      <c r="F10" s="51" t="s">
        <v>54</v>
      </c>
      <c r="G10" s="66"/>
      <c r="H10" s="70" t="s">
        <v>89</v>
      </c>
      <c r="I10" s="49"/>
      <c r="J10" s="51">
        <f t="shared" si="0"/>
        <v>3.75</v>
      </c>
      <c r="K10" s="51" t="s">
        <v>54</v>
      </c>
      <c r="L10" s="51"/>
      <c r="M10" s="74" t="e">
        <f>#REF!</f>
        <v>#REF!</v>
      </c>
      <c r="N10" s="62" t="s">
        <v>184</v>
      </c>
      <c r="O10" s="52" t="s">
        <v>24</v>
      </c>
      <c r="P10" s="49"/>
      <c r="Q10" s="53">
        <v>2</v>
      </c>
      <c r="R10" s="85">
        <f t="shared" si="1"/>
        <v>1.5</v>
      </c>
    </row>
    <row r="11" spans="1:19" ht="24.95" customHeight="1">
      <c r="A11" s="333"/>
      <c r="B11" s="62"/>
      <c r="C11" s="48" t="s">
        <v>290</v>
      </c>
      <c r="D11" s="49"/>
      <c r="E11" s="50">
        <v>20</v>
      </c>
      <c r="F11" s="51" t="s">
        <v>34</v>
      </c>
      <c r="G11" s="66" t="s">
        <v>33</v>
      </c>
      <c r="H11" s="70" t="s">
        <v>290</v>
      </c>
      <c r="I11" s="49"/>
      <c r="J11" s="51">
        <f t="shared" si="0"/>
        <v>15</v>
      </c>
      <c r="K11" s="51" t="s">
        <v>34</v>
      </c>
      <c r="L11" s="51" t="s">
        <v>33</v>
      </c>
      <c r="M11" s="74" t="e">
        <f>#REF!</f>
        <v>#REF!</v>
      </c>
      <c r="N11" s="62" t="s">
        <v>273</v>
      </c>
      <c r="O11" s="52" t="s">
        <v>66</v>
      </c>
      <c r="P11" s="49"/>
      <c r="Q11" s="53">
        <v>1</v>
      </c>
      <c r="R11" s="85">
        <f t="shared" si="1"/>
        <v>0.75</v>
      </c>
    </row>
    <row r="12" spans="1:19" ht="24.95" customHeight="1">
      <c r="A12" s="333"/>
      <c r="B12" s="62"/>
      <c r="C12" s="48" t="s">
        <v>93</v>
      </c>
      <c r="D12" s="49"/>
      <c r="E12" s="50">
        <v>5</v>
      </c>
      <c r="F12" s="51" t="s">
        <v>34</v>
      </c>
      <c r="G12" s="66" t="s">
        <v>94</v>
      </c>
      <c r="H12" s="70" t="s">
        <v>93</v>
      </c>
      <c r="I12" s="49"/>
      <c r="J12" s="51">
        <f t="shared" si="0"/>
        <v>3.75</v>
      </c>
      <c r="K12" s="51" t="s">
        <v>34</v>
      </c>
      <c r="L12" s="51" t="s">
        <v>94</v>
      </c>
      <c r="M12" s="74" t="e">
        <f>#REF!</f>
        <v>#REF!</v>
      </c>
      <c r="N12" s="62" t="s">
        <v>18</v>
      </c>
      <c r="O12" s="52" t="s">
        <v>27</v>
      </c>
      <c r="P12" s="49"/>
      <c r="Q12" s="53">
        <v>1.5</v>
      </c>
      <c r="R12" s="85">
        <f t="shared" si="1"/>
        <v>1.1300000000000001</v>
      </c>
    </row>
    <row r="13" spans="1:19" ht="24.95" customHeight="1">
      <c r="A13" s="333"/>
      <c r="B13" s="62"/>
      <c r="C13" s="48"/>
      <c r="D13" s="49"/>
      <c r="E13" s="50"/>
      <c r="F13" s="51"/>
      <c r="G13" s="66"/>
      <c r="H13" s="70"/>
      <c r="I13" s="49"/>
      <c r="J13" s="51"/>
      <c r="K13" s="51"/>
      <c r="L13" s="51"/>
      <c r="M13" s="74"/>
      <c r="N13" s="62"/>
      <c r="O13" s="52" t="s">
        <v>28</v>
      </c>
      <c r="P13" s="49"/>
      <c r="Q13" s="53">
        <v>1</v>
      </c>
      <c r="R13" s="85">
        <f t="shared" si="1"/>
        <v>0.75</v>
      </c>
    </row>
    <row r="14" spans="1:19" ht="24.95" customHeight="1">
      <c r="A14" s="333"/>
      <c r="B14" s="62"/>
      <c r="C14" s="48"/>
      <c r="D14" s="49"/>
      <c r="E14" s="50"/>
      <c r="F14" s="51"/>
      <c r="G14" s="66"/>
      <c r="H14" s="70"/>
      <c r="I14" s="49"/>
      <c r="J14" s="51"/>
      <c r="K14" s="51"/>
      <c r="L14" s="51"/>
      <c r="M14" s="74"/>
      <c r="N14" s="62"/>
      <c r="O14" s="52" t="s">
        <v>35</v>
      </c>
      <c r="P14" s="49" t="s">
        <v>23</v>
      </c>
      <c r="Q14" s="53">
        <v>2</v>
      </c>
      <c r="R14" s="85">
        <f t="shared" si="1"/>
        <v>1.5</v>
      </c>
    </row>
    <row r="15" spans="1:19" ht="24.95" customHeight="1">
      <c r="A15" s="333"/>
      <c r="B15" s="62"/>
      <c r="C15" s="48"/>
      <c r="D15" s="49"/>
      <c r="E15" s="50"/>
      <c r="F15" s="51"/>
      <c r="G15" s="66"/>
      <c r="H15" s="70"/>
      <c r="I15" s="49"/>
      <c r="J15" s="51"/>
      <c r="K15" s="51"/>
      <c r="L15" s="51"/>
      <c r="M15" s="74"/>
      <c r="N15" s="62"/>
      <c r="O15" s="52" t="s">
        <v>25</v>
      </c>
      <c r="P15" s="49" t="s">
        <v>26</v>
      </c>
      <c r="Q15" s="53">
        <v>1</v>
      </c>
      <c r="R15" s="85">
        <f t="shared" si="1"/>
        <v>0.75</v>
      </c>
    </row>
    <row r="16" spans="1:19" ht="24.95" customHeight="1">
      <c r="A16" s="333"/>
      <c r="B16" s="62"/>
      <c r="C16" s="48"/>
      <c r="D16" s="49"/>
      <c r="E16" s="50"/>
      <c r="F16" s="51"/>
      <c r="G16" s="66"/>
      <c r="H16" s="70"/>
      <c r="I16" s="49"/>
      <c r="J16" s="51"/>
      <c r="K16" s="51"/>
      <c r="L16" s="51"/>
      <c r="M16" s="74"/>
      <c r="N16" s="62"/>
      <c r="O16" s="52" t="s">
        <v>45</v>
      </c>
      <c r="P16" s="49"/>
      <c r="Q16" s="53">
        <v>0.05</v>
      </c>
      <c r="R16" s="85">
        <f t="shared" si="1"/>
        <v>0.04</v>
      </c>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185</v>
      </c>
      <c r="C18" s="48" t="s">
        <v>188</v>
      </c>
      <c r="D18" s="49"/>
      <c r="E18" s="50">
        <v>5</v>
      </c>
      <c r="F18" s="51" t="s">
        <v>34</v>
      </c>
      <c r="G18" s="66"/>
      <c r="H18" s="70" t="s">
        <v>188</v>
      </c>
      <c r="I18" s="49"/>
      <c r="J18" s="51">
        <f>ROUNDUP(E18*0.75,2)</f>
        <v>3.75</v>
      </c>
      <c r="K18" s="51" t="s">
        <v>34</v>
      </c>
      <c r="L18" s="51"/>
      <c r="M18" s="74" t="e">
        <f>#REF!</f>
        <v>#REF!</v>
      </c>
      <c r="N18" s="62" t="s">
        <v>186</v>
      </c>
      <c r="O18" s="52" t="s">
        <v>44</v>
      </c>
      <c r="P18" s="49"/>
      <c r="Q18" s="53">
        <v>1</v>
      </c>
      <c r="R18" s="85">
        <f>ROUNDUP(Q18*0.75,2)</f>
        <v>0.75</v>
      </c>
    </row>
    <row r="19" spans="1:18" ht="24.95" customHeight="1">
      <c r="A19" s="333"/>
      <c r="B19" s="62"/>
      <c r="C19" s="48" t="s">
        <v>137</v>
      </c>
      <c r="D19" s="49"/>
      <c r="E19" s="50">
        <v>10</v>
      </c>
      <c r="F19" s="51" t="s">
        <v>34</v>
      </c>
      <c r="G19" s="66"/>
      <c r="H19" s="70" t="s">
        <v>137</v>
      </c>
      <c r="I19" s="49"/>
      <c r="J19" s="51">
        <f>ROUNDUP(E19*0.75,2)</f>
        <v>7.5</v>
      </c>
      <c r="K19" s="51" t="s">
        <v>34</v>
      </c>
      <c r="L19" s="51"/>
      <c r="M19" s="74" t="e">
        <f>ROUND(#REF!+(#REF!*10/100),2)</f>
        <v>#REF!</v>
      </c>
      <c r="N19" s="62" t="s">
        <v>187</v>
      </c>
      <c r="O19" s="52" t="s">
        <v>36</v>
      </c>
      <c r="P19" s="49"/>
      <c r="Q19" s="53">
        <v>20</v>
      </c>
      <c r="R19" s="85">
        <f>ROUNDUP(Q19*0.75,2)</f>
        <v>15</v>
      </c>
    </row>
    <row r="20" spans="1:18" ht="24.95" customHeight="1">
      <c r="A20" s="333"/>
      <c r="B20" s="62"/>
      <c r="C20" s="48" t="s">
        <v>95</v>
      </c>
      <c r="D20" s="49"/>
      <c r="E20" s="50">
        <v>10</v>
      </c>
      <c r="F20" s="51" t="s">
        <v>34</v>
      </c>
      <c r="G20" s="66" t="s">
        <v>96</v>
      </c>
      <c r="H20" s="70" t="s">
        <v>95</v>
      </c>
      <c r="I20" s="49"/>
      <c r="J20" s="51">
        <f>ROUNDUP(E20*0.75,2)</f>
        <v>7.5</v>
      </c>
      <c r="K20" s="51" t="s">
        <v>34</v>
      </c>
      <c r="L20" s="51" t="s">
        <v>96</v>
      </c>
      <c r="M20" s="74" t="e">
        <f>#REF!</f>
        <v>#REF!</v>
      </c>
      <c r="N20" s="62" t="s">
        <v>91</v>
      </c>
      <c r="O20" s="52" t="s">
        <v>27</v>
      </c>
      <c r="P20" s="49"/>
      <c r="Q20" s="53">
        <v>1</v>
      </c>
      <c r="R20" s="85">
        <f>ROUNDUP(Q20*0.75,2)</f>
        <v>0.75</v>
      </c>
    </row>
    <row r="21" spans="1:18" ht="24.95" customHeight="1">
      <c r="A21" s="333"/>
      <c r="B21" s="62"/>
      <c r="C21" s="48" t="s">
        <v>113</v>
      </c>
      <c r="D21" s="49"/>
      <c r="E21" s="50">
        <v>10</v>
      </c>
      <c r="F21" s="51" t="s">
        <v>34</v>
      </c>
      <c r="G21" s="66" t="s">
        <v>33</v>
      </c>
      <c r="H21" s="70" t="s">
        <v>113</v>
      </c>
      <c r="I21" s="49"/>
      <c r="J21" s="51">
        <f>ROUNDUP(E21*0.75,2)</f>
        <v>7.5</v>
      </c>
      <c r="K21" s="51" t="s">
        <v>34</v>
      </c>
      <c r="L21" s="51" t="s">
        <v>33</v>
      </c>
      <c r="M21" s="74" t="e">
        <f>#REF!</f>
        <v>#REF!</v>
      </c>
      <c r="N21" s="62" t="s">
        <v>18</v>
      </c>
      <c r="O21" s="52" t="s">
        <v>35</v>
      </c>
      <c r="P21" s="49" t="s">
        <v>23</v>
      </c>
      <c r="Q21" s="53">
        <v>1.5</v>
      </c>
      <c r="R21" s="85">
        <f>ROUNDUP(Q21*0.75,2)</f>
        <v>1.1300000000000001</v>
      </c>
    </row>
    <row r="22" spans="1:18" ht="24.95" customHeight="1">
      <c r="A22" s="333"/>
      <c r="B22" s="61"/>
      <c r="C22" s="42"/>
      <c r="D22" s="43"/>
      <c r="E22" s="44"/>
      <c r="F22" s="45"/>
      <c r="G22" s="65"/>
      <c r="H22" s="69"/>
      <c r="I22" s="43"/>
      <c r="J22" s="45"/>
      <c r="K22" s="45"/>
      <c r="L22" s="45"/>
      <c r="M22" s="73"/>
      <c r="N22" s="61"/>
      <c r="O22" s="46"/>
      <c r="P22" s="43"/>
      <c r="Q22" s="47"/>
      <c r="R22" s="84"/>
    </row>
    <row r="23" spans="1:18" ht="24.95" customHeight="1">
      <c r="A23" s="333"/>
      <c r="B23" s="62" t="s">
        <v>47</v>
      </c>
      <c r="C23" s="48" t="s">
        <v>110</v>
      </c>
      <c r="D23" s="49" t="s">
        <v>23</v>
      </c>
      <c r="E23" s="78">
        <v>0.1</v>
      </c>
      <c r="F23" s="51" t="s">
        <v>90</v>
      </c>
      <c r="G23" s="66" t="s">
        <v>111</v>
      </c>
      <c r="H23" s="70" t="s">
        <v>110</v>
      </c>
      <c r="I23" s="49" t="s">
        <v>23</v>
      </c>
      <c r="J23" s="51">
        <f>ROUNDUP(E23*0.75,2)</f>
        <v>0.08</v>
      </c>
      <c r="K23" s="51" t="s">
        <v>90</v>
      </c>
      <c r="L23" s="51" t="s">
        <v>111</v>
      </c>
      <c r="M23" s="74" t="e">
        <f>#REF!</f>
        <v>#REF!</v>
      </c>
      <c r="N23" s="62" t="s">
        <v>18</v>
      </c>
      <c r="O23" s="52" t="s">
        <v>36</v>
      </c>
      <c r="P23" s="49"/>
      <c r="Q23" s="53">
        <v>100</v>
      </c>
      <c r="R23" s="85">
        <f>ROUNDUP(Q23*0.75,2)</f>
        <v>75</v>
      </c>
    </row>
    <row r="24" spans="1:18" ht="24.95" customHeight="1">
      <c r="A24" s="333"/>
      <c r="B24" s="62"/>
      <c r="C24" s="48" t="s">
        <v>189</v>
      </c>
      <c r="D24" s="49"/>
      <c r="E24" s="50">
        <v>3</v>
      </c>
      <c r="F24" s="51" t="s">
        <v>34</v>
      </c>
      <c r="G24" s="66"/>
      <c r="H24" s="70" t="s">
        <v>189</v>
      </c>
      <c r="I24" s="49"/>
      <c r="J24" s="51">
        <f>ROUNDUP(E24*0.75,2)</f>
        <v>2.25</v>
      </c>
      <c r="K24" s="51" t="s">
        <v>34</v>
      </c>
      <c r="L24" s="51"/>
      <c r="M24" s="74" t="e">
        <f>ROUND(#REF!+(#REF!*40/100),2)</f>
        <v>#REF!</v>
      </c>
      <c r="N24" s="62"/>
      <c r="O24" s="52" t="s">
        <v>45</v>
      </c>
      <c r="P24" s="49"/>
      <c r="Q24" s="53">
        <v>0.1</v>
      </c>
      <c r="R24" s="85">
        <f>ROUNDUP(Q24*0.75,2)</f>
        <v>0.08</v>
      </c>
    </row>
    <row r="25" spans="1:18" ht="24.95" customHeight="1">
      <c r="A25" s="333"/>
      <c r="B25" s="62"/>
      <c r="C25" s="48"/>
      <c r="D25" s="49"/>
      <c r="E25" s="50"/>
      <c r="F25" s="51"/>
      <c r="G25" s="66"/>
      <c r="H25" s="70"/>
      <c r="I25" s="49"/>
      <c r="J25" s="51"/>
      <c r="K25" s="51"/>
      <c r="L25" s="51"/>
      <c r="M25" s="74"/>
      <c r="N25" s="62"/>
      <c r="O25" s="52" t="s">
        <v>35</v>
      </c>
      <c r="P25" s="49" t="s">
        <v>23</v>
      </c>
      <c r="Q25" s="53">
        <v>0.5</v>
      </c>
      <c r="R25" s="85">
        <f>ROUNDUP(Q25*0.75,2)</f>
        <v>0.38</v>
      </c>
    </row>
    <row r="26" spans="1:18" ht="24.95" customHeight="1" thickBot="1">
      <c r="A26" s="334"/>
      <c r="B26" s="63"/>
      <c r="C26" s="54"/>
      <c r="D26" s="55"/>
      <c r="E26" s="56"/>
      <c r="F26" s="57"/>
      <c r="G26" s="67"/>
      <c r="H26" s="71"/>
      <c r="I26" s="55"/>
      <c r="J26" s="57"/>
      <c r="K26" s="57"/>
      <c r="L26" s="57"/>
      <c r="M26" s="75"/>
      <c r="N26" s="63"/>
      <c r="O26" s="58"/>
      <c r="P26" s="55"/>
      <c r="Q26" s="59"/>
      <c r="R26" s="86"/>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255</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191</v>
      </c>
      <c r="C5" s="36" t="s">
        <v>194</v>
      </c>
      <c r="D5" s="37"/>
      <c r="E5" s="80">
        <v>0.5</v>
      </c>
      <c r="F5" s="39" t="s">
        <v>90</v>
      </c>
      <c r="G5" s="64" t="s">
        <v>53</v>
      </c>
      <c r="H5" s="68" t="s">
        <v>194</v>
      </c>
      <c r="I5" s="37"/>
      <c r="J5" s="39">
        <f>ROUNDUP(E5*0.75,2)</f>
        <v>0.38</v>
      </c>
      <c r="K5" s="39" t="s">
        <v>90</v>
      </c>
      <c r="L5" s="39" t="s">
        <v>53</v>
      </c>
      <c r="M5" s="72" t="e">
        <f>#REF!</f>
        <v>#REF!</v>
      </c>
      <c r="N5" s="60" t="s">
        <v>192</v>
      </c>
      <c r="O5" s="40" t="s">
        <v>13</v>
      </c>
      <c r="P5" s="37"/>
      <c r="Q5" s="41">
        <v>110</v>
      </c>
      <c r="R5" s="83">
        <f>ROUNDUP(Q5*0.75,2)</f>
        <v>82.5</v>
      </c>
    </row>
    <row r="6" spans="1:19" ht="24.95" customHeight="1">
      <c r="A6" s="333"/>
      <c r="B6" s="62"/>
      <c r="C6" s="48"/>
      <c r="D6" s="49"/>
      <c r="E6" s="50"/>
      <c r="F6" s="51"/>
      <c r="G6" s="66"/>
      <c r="H6" s="70"/>
      <c r="I6" s="49"/>
      <c r="J6" s="51"/>
      <c r="K6" s="51"/>
      <c r="L6" s="51"/>
      <c r="M6" s="74"/>
      <c r="N6" s="62" t="s">
        <v>193</v>
      </c>
      <c r="O6" s="52" t="s">
        <v>36</v>
      </c>
      <c r="P6" s="49"/>
      <c r="Q6" s="53">
        <v>1.5</v>
      </c>
      <c r="R6" s="85">
        <f>ROUNDUP(Q6*0.75,2)</f>
        <v>1.1300000000000001</v>
      </c>
    </row>
    <row r="7" spans="1:19" ht="24.95" customHeight="1">
      <c r="A7" s="333"/>
      <c r="B7" s="62"/>
      <c r="C7" s="48"/>
      <c r="D7" s="49"/>
      <c r="E7" s="50"/>
      <c r="F7" s="51"/>
      <c r="G7" s="66"/>
      <c r="H7" s="70"/>
      <c r="I7" s="49"/>
      <c r="J7" s="51"/>
      <c r="K7" s="51"/>
      <c r="L7" s="51"/>
      <c r="M7" s="74"/>
      <c r="N7" s="62" t="s">
        <v>18</v>
      </c>
      <c r="O7" s="52" t="s">
        <v>35</v>
      </c>
      <c r="P7" s="49" t="s">
        <v>23</v>
      </c>
      <c r="Q7" s="53">
        <v>1</v>
      </c>
      <c r="R7" s="85">
        <f>ROUNDUP(Q7*0.75,2)</f>
        <v>0.75</v>
      </c>
    </row>
    <row r="8" spans="1:19" ht="24.95" customHeight="1">
      <c r="A8" s="333"/>
      <c r="B8" s="61"/>
      <c r="C8" s="42"/>
      <c r="D8" s="43"/>
      <c r="E8" s="44"/>
      <c r="F8" s="45"/>
      <c r="G8" s="65"/>
      <c r="H8" s="69"/>
      <c r="I8" s="43"/>
      <c r="J8" s="45"/>
      <c r="K8" s="45"/>
      <c r="L8" s="45"/>
      <c r="M8" s="73"/>
      <c r="N8" s="61"/>
      <c r="O8" s="46"/>
      <c r="P8" s="43"/>
      <c r="Q8" s="47"/>
      <c r="R8" s="84"/>
    </row>
    <row r="9" spans="1:19" ht="24.95" customHeight="1">
      <c r="A9" s="333"/>
      <c r="B9" s="62" t="s">
        <v>195</v>
      </c>
      <c r="C9" s="48" t="s">
        <v>19</v>
      </c>
      <c r="D9" s="49"/>
      <c r="E9" s="50">
        <v>1</v>
      </c>
      <c r="F9" s="51" t="s">
        <v>21</v>
      </c>
      <c r="G9" s="66" t="s">
        <v>20</v>
      </c>
      <c r="H9" s="70" t="s">
        <v>19</v>
      </c>
      <c r="I9" s="49"/>
      <c r="J9" s="51">
        <f>ROUNDUP(E9*0.75,2)</f>
        <v>0.75</v>
      </c>
      <c r="K9" s="51" t="s">
        <v>21</v>
      </c>
      <c r="L9" s="51" t="s">
        <v>20</v>
      </c>
      <c r="M9" s="74" t="e">
        <f>#REF!</f>
        <v>#REF!</v>
      </c>
      <c r="N9" s="62" t="s">
        <v>196</v>
      </c>
      <c r="O9" s="52" t="s">
        <v>66</v>
      </c>
      <c r="P9" s="49"/>
      <c r="Q9" s="53">
        <v>0.5</v>
      </c>
      <c r="R9" s="85">
        <f>ROUNDUP(Q9*0.75,2)</f>
        <v>0.38</v>
      </c>
    </row>
    <row r="10" spans="1:19" ht="24.95" customHeight="1">
      <c r="A10" s="333"/>
      <c r="B10" s="62"/>
      <c r="C10" s="48" t="s">
        <v>198</v>
      </c>
      <c r="D10" s="49"/>
      <c r="E10" s="50">
        <v>0.5</v>
      </c>
      <c r="F10" s="51" t="s">
        <v>34</v>
      </c>
      <c r="G10" s="66"/>
      <c r="H10" s="70" t="s">
        <v>198</v>
      </c>
      <c r="I10" s="49"/>
      <c r="J10" s="51">
        <f>ROUNDUP(E10*0.75,2)</f>
        <v>0.38</v>
      </c>
      <c r="K10" s="51" t="s">
        <v>34</v>
      </c>
      <c r="L10" s="51"/>
      <c r="M10" s="74" t="e">
        <f>ROUND(#REF!+(#REF!*20/100),2)</f>
        <v>#REF!</v>
      </c>
      <c r="N10" s="62" t="s">
        <v>256</v>
      </c>
      <c r="O10" s="52" t="s">
        <v>36</v>
      </c>
      <c r="P10" s="49"/>
      <c r="Q10" s="53">
        <v>30</v>
      </c>
      <c r="R10" s="85">
        <f>ROUNDUP(Q10*0.75,2)</f>
        <v>22.5</v>
      </c>
    </row>
    <row r="11" spans="1:19" ht="24.95" customHeight="1">
      <c r="A11" s="333"/>
      <c r="B11" s="62"/>
      <c r="C11" s="48" t="s">
        <v>137</v>
      </c>
      <c r="D11" s="49"/>
      <c r="E11" s="50">
        <v>10</v>
      </c>
      <c r="F11" s="51" t="s">
        <v>34</v>
      </c>
      <c r="G11" s="66"/>
      <c r="H11" s="70" t="s">
        <v>137</v>
      </c>
      <c r="I11" s="49"/>
      <c r="J11" s="51">
        <f>ROUNDUP(E11*0.75,2)</f>
        <v>7.5</v>
      </c>
      <c r="K11" s="51" t="s">
        <v>34</v>
      </c>
      <c r="L11" s="51"/>
      <c r="M11" s="74" t="e">
        <f>ROUND(#REF!+(#REF!*10/100),2)</f>
        <v>#REF!</v>
      </c>
      <c r="N11" s="62" t="s">
        <v>18</v>
      </c>
      <c r="O11" s="52" t="s">
        <v>35</v>
      </c>
      <c r="P11" s="49" t="s">
        <v>23</v>
      </c>
      <c r="Q11" s="53">
        <v>2</v>
      </c>
      <c r="R11" s="85">
        <f>ROUNDUP(Q11*0.75,2)</f>
        <v>1.5</v>
      </c>
    </row>
    <row r="12" spans="1:19" ht="24.95" customHeight="1">
      <c r="A12" s="333"/>
      <c r="B12" s="62"/>
      <c r="C12" s="48"/>
      <c r="D12" s="49"/>
      <c r="E12" s="50"/>
      <c r="F12" s="51"/>
      <c r="G12" s="66"/>
      <c r="H12" s="70"/>
      <c r="I12" s="49"/>
      <c r="J12" s="51"/>
      <c r="K12" s="51"/>
      <c r="L12" s="51"/>
      <c r="M12" s="74"/>
      <c r="N12" s="62"/>
      <c r="O12" s="52" t="s">
        <v>66</v>
      </c>
      <c r="P12" s="49"/>
      <c r="Q12" s="53">
        <v>1.5</v>
      </c>
      <c r="R12" s="85">
        <f>ROUNDUP(Q12*0.75,2)</f>
        <v>1.1300000000000001</v>
      </c>
    </row>
    <row r="13" spans="1:19" ht="24.95" customHeight="1">
      <c r="A13" s="333"/>
      <c r="B13" s="62"/>
      <c r="C13" s="48"/>
      <c r="D13" s="49"/>
      <c r="E13" s="50"/>
      <c r="F13" s="51"/>
      <c r="G13" s="66"/>
      <c r="H13" s="70"/>
      <c r="I13" s="49"/>
      <c r="J13" s="51"/>
      <c r="K13" s="51"/>
      <c r="L13" s="51"/>
      <c r="M13" s="74"/>
      <c r="N13" s="62"/>
      <c r="O13" s="52" t="s">
        <v>27</v>
      </c>
      <c r="P13" s="49"/>
      <c r="Q13" s="53">
        <v>1.5</v>
      </c>
      <c r="R13" s="85">
        <f>ROUNDUP(Q13*0.75,2)</f>
        <v>1.1300000000000001</v>
      </c>
    </row>
    <row r="14" spans="1:19" ht="24.95" customHeight="1">
      <c r="A14" s="333"/>
      <c r="B14" s="61"/>
      <c r="C14" s="42"/>
      <c r="D14" s="43"/>
      <c r="E14" s="44"/>
      <c r="F14" s="45"/>
      <c r="G14" s="65"/>
      <c r="H14" s="69"/>
      <c r="I14" s="43"/>
      <c r="J14" s="45"/>
      <c r="K14" s="45"/>
      <c r="L14" s="45"/>
      <c r="M14" s="73"/>
      <c r="N14" s="61"/>
      <c r="O14" s="46"/>
      <c r="P14" s="43"/>
      <c r="Q14" s="47"/>
      <c r="R14" s="84"/>
    </row>
    <row r="15" spans="1:19" ht="24.95" customHeight="1">
      <c r="A15" s="333"/>
      <c r="B15" s="62" t="s">
        <v>261</v>
      </c>
      <c r="C15" s="48" t="s">
        <v>128</v>
      </c>
      <c r="D15" s="49" t="s">
        <v>129</v>
      </c>
      <c r="E15" s="77">
        <v>0.5</v>
      </c>
      <c r="F15" s="51" t="s">
        <v>40</v>
      </c>
      <c r="G15" s="66"/>
      <c r="H15" s="70" t="s">
        <v>128</v>
      </c>
      <c r="I15" s="49" t="s">
        <v>129</v>
      </c>
      <c r="J15" s="51">
        <f>ROUNDUP(E15*0.75,2)</f>
        <v>0.38</v>
      </c>
      <c r="K15" s="51" t="s">
        <v>40</v>
      </c>
      <c r="L15" s="51"/>
      <c r="M15" s="74" t="e">
        <f>#REF!</f>
        <v>#REF!</v>
      </c>
      <c r="N15" s="62" t="s">
        <v>62</v>
      </c>
      <c r="O15" s="52" t="s">
        <v>24</v>
      </c>
      <c r="P15" s="49"/>
      <c r="Q15" s="53">
        <v>1</v>
      </c>
      <c r="R15" s="85">
        <f>ROUNDUP(Q15*0.75,2)</f>
        <v>0.75</v>
      </c>
    </row>
    <row r="16" spans="1:19" ht="24.95" customHeight="1">
      <c r="A16" s="333"/>
      <c r="B16" s="62"/>
      <c r="C16" s="48" t="s">
        <v>240</v>
      </c>
      <c r="D16" s="49"/>
      <c r="E16" s="50">
        <v>30</v>
      </c>
      <c r="F16" s="51" t="s">
        <v>34</v>
      </c>
      <c r="G16" s="66"/>
      <c r="H16" s="70" t="s">
        <v>240</v>
      </c>
      <c r="I16" s="49"/>
      <c r="J16" s="51">
        <f>ROUNDUP(E16*0.75,2)</f>
        <v>22.5</v>
      </c>
      <c r="K16" s="51" t="s">
        <v>34</v>
      </c>
      <c r="L16" s="51"/>
      <c r="M16" s="74" t="e">
        <f>ROUND(#REF!+(#REF!*3/100),2)</f>
        <v>#REF!</v>
      </c>
      <c r="N16" s="62" t="s">
        <v>200</v>
      </c>
      <c r="O16" s="52" t="s">
        <v>44</v>
      </c>
      <c r="P16" s="49"/>
      <c r="Q16" s="53">
        <v>2</v>
      </c>
      <c r="R16" s="85">
        <f>ROUNDUP(Q16*0.75,2)</f>
        <v>1.5</v>
      </c>
    </row>
    <row r="17" spans="1:18" ht="24.95" customHeight="1">
      <c r="A17" s="333"/>
      <c r="B17" s="62"/>
      <c r="C17" s="48" t="s">
        <v>232</v>
      </c>
      <c r="D17" s="49"/>
      <c r="E17" s="50">
        <v>2</v>
      </c>
      <c r="F17" s="51" t="s">
        <v>34</v>
      </c>
      <c r="G17" s="66"/>
      <c r="H17" s="70" t="s">
        <v>232</v>
      </c>
      <c r="I17" s="49"/>
      <c r="J17" s="51">
        <f>ROUNDUP(E17*0.75,2)</f>
        <v>1.5</v>
      </c>
      <c r="K17" s="51" t="s">
        <v>34</v>
      </c>
      <c r="L17" s="51"/>
      <c r="M17" s="74" t="e">
        <f>ROUND(#REF!+(#REF!*10/100),2)</f>
        <v>#REF!</v>
      </c>
      <c r="N17" s="62" t="s">
        <v>283</v>
      </c>
      <c r="O17" s="52" t="s">
        <v>45</v>
      </c>
      <c r="P17" s="49"/>
      <c r="Q17" s="53">
        <v>0.1</v>
      </c>
      <c r="R17" s="85">
        <f>ROUNDUP(Q17*0.75,2)</f>
        <v>0.08</v>
      </c>
    </row>
    <row r="18" spans="1:18" ht="24.95" customHeight="1">
      <c r="A18" s="333"/>
      <c r="B18" s="62"/>
      <c r="C18" s="48"/>
      <c r="D18" s="49"/>
      <c r="E18" s="50"/>
      <c r="F18" s="51"/>
      <c r="G18" s="66"/>
      <c r="H18" s="70"/>
      <c r="I18" s="49"/>
      <c r="J18" s="51"/>
      <c r="K18" s="51"/>
      <c r="L18" s="51"/>
      <c r="M18" s="74"/>
      <c r="N18" s="62" t="s">
        <v>286</v>
      </c>
      <c r="O18" s="52" t="s">
        <v>46</v>
      </c>
      <c r="P18" s="49"/>
      <c r="Q18" s="53">
        <v>0.01</v>
      </c>
      <c r="R18" s="85">
        <f>ROUNDUP(Q18*0.75,2)</f>
        <v>0.01</v>
      </c>
    </row>
    <row r="19" spans="1:18" ht="24.95" customHeight="1">
      <c r="A19" s="333"/>
      <c r="B19" s="62"/>
      <c r="C19" s="48"/>
      <c r="D19" s="49"/>
      <c r="E19" s="50"/>
      <c r="F19" s="51"/>
      <c r="G19" s="66"/>
      <c r="H19" s="70"/>
      <c r="I19" s="49"/>
      <c r="J19" s="51"/>
      <c r="K19" s="51"/>
      <c r="L19" s="51"/>
      <c r="M19" s="74"/>
      <c r="N19" s="62" t="s">
        <v>18</v>
      </c>
      <c r="O19" s="52" t="s">
        <v>35</v>
      </c>
      <c r="P19" s="49" t="s">
        <v>23</v>
      </c>
      <c r="Q19" s="53">
        <v>0.5</v>
      </c>
      <c r="R19" s="85">
        <f>ROUNDUP(Q19*0.75,2)</f>
        <v>0.38</v>
      </c>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202</v>
      </c>
      <c r="C21" s="48" t="s">
        <v>149</v>
      </c>
      <c r="D21" s="49"/>
      <c r="E21" s="50">
        <v>20</v>
      </c>
      <c r="F21" s="51" t="s">
        <v>34</v>
      </c>
      <c r="G21" s="66"/>
      <c r="H21" s="70" t="s">
        <v>149</v>
      </c>
      <c r="I21" s="49"/>
      <c r="J21" s="51">
        <f>ROUNDUP(E21*0.75,2)</f>
        <v>15</v>
      </c>
      <c r="K21" s="51" t="s">
        <v>34</v>
      </c>
      <c r="L21" s="51"/>
      <c r="M21" s="74" t="e">
        <f>ROUND(#REF!+(#REF!*15/100),2)</f>
        <v>#REF!</v>
      </c>
      <c r="N21" s="62" t="s">
        <v>18</v>
      </c>
      <c r="O21" s="52" t="s">
        <v>36</v>
      </c>
      <c r="P21" s="49"/>
      <c r="Q21" s="53">
        <v>100</v>
      </c>
      <c r="R21" s="85">
        <f>ROUNDUP(Q21*0.75,2)</f>
        <v>75</v>
      </c>
    </row>
    <row r="22" spans="1:18" ht="24.95" customHeight="1">
      <c r="A22" s="333"/>
      <c r="B22" s="62"/>
      <c r="C22" s="48" t="s">
        <v>48</v>
      </c>
      <c r="D22" s="49"/>
      <c r="E22" s="50">
        <v>0.5</v>
      </c>
      <c r="F22" s="51" t="s">
        <v>34</v>
      </c>
      <c r="G22" s="66" t="s">
        <v>49</v>
      </c>
      <c r="H22" s="70" t="s">
        <v>48</v>
      </c>
      <c r="I22" s="49"/>
      <c r="J22" s="51">
        <f>ROUNDUP(E22*0.75,2)</f>
        <v>0.38</v>
      </c>
      <c r="K22" s="51" t="s">
        <v>34</v>
      </c>
      <c r="L22" s="51" t="s">
        <v>49</v>
      </c>
      <c r="M22" s="74" t="e">
        <f>#REF!</f>
        <v>#REF!</v>
      </c>
      <c r="N22" s="62"/>
      <c r="O22" s="52" t="s">
        <v>29</v>
      </c>
      <c r="P22" s="49"/>
      <c r="Q22" s="53">
        <v>3</v>
      </c>
      <c r="R22" s="85">
        <f>ROUNDUP(Q22*0.75,2)</f>
        <v>2.25</v>
      </c>
    </row>
    <row r="23" spans="1:18" ht="24.95" customHeight="1">
      <c r="A23" s="333"/>
      <c r="B23" s="62"/>
      <c r="C23" s="48" t="s">
        <v>150</v>
      </c>
      <c r="D23" s="49"/>
      <c r="E23" s="78">
        <v>0.1</v>
      </c>
      <c r="F23" s="51" t="s">
        <v>151</v>
      </c>
      <c r="G23" s="66" t="s">
        <v>53</v>
      </c>
      <c r="H23" s="70" t="s">
        <v>150</v>
      </c>
      <c r="I23" s="49"/>
      <c r="J23" s="51">
        <f>ROUNDUP(E23*0.75,2)</f>
        <v>0.08</v>
      </c>
      <c r="K23" s="51" t="s">
        <v>151</v>
      </c>
      <c r="L23" s="51" t="s">
        <v>53</v>
      </c>
      <c r="M23" s="74" t="e">
        <f>#REF!</f>
        <v>#REF!</v>
      </c>
      <c r="N23" s="62"/>
      <c r="O23" s="52"/>
      <c r="P23" s="49"/>
      <c r="Q23" s="53"/>
      <c r="R23" s="85"/>
    </row>
    <row r="24" spans="1:18" ht="24.95" customHeight="1" thickBot="1">
      <c r="A24" s="334"/>
      <c r="B24" s="63"/>
      <c r="C24" s="54"/>
      <c r="D24" s="55"/>
      <c r="E24" s="56"/>
      <c r="F24" s="57"/>
      <c r="G24" s="67"/>
      <c r="H24" s="71"/>
      <c r="I24" s="55"/>
      <c r="J24" s="57"/>
      <c r="K24" s="57"/>
      <c r="L24" s="57"/>
      <c r="M24" s="75"/>
      <c r="N24" s="63"/>
      <c r="O24" s="58"/>
      <c r="P24" s="55"/>
      <c r="Q24" s="59"/>
      <c r="R24" s="86"/>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257</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208</v>
      </c>
      <c r="C5" s="36" t="s">
        <v>55</v>
      </c>
      <c r="D5" s="37" t="s">
        <v>57</v>
      </c>
      <c r="E5" s="38">
        <v>40</v>
      </c>
      <c r="F5" s="39" t="s">
        <v>34</v>
      </c>
      <c r="G5" s="64" t="s">
        <v>56</v>
      </c>
      <c r="H5" s="68" t="s">
        <v>55</v>
      </c>
      <c r="I5" s="37" t="s">
        <v>57</v>
      </c>
      <c r="J5" s="39">
        <f t="shared" ref="J5:J11" si="0">ROUNDUP(E5*0.75,2)</f>
        <v>30</v>
      </c>
      <c r="K5" s="39" t="s">
        <v>34</v>
      </c>
      <c r="L5" s="39" t="s">
        <v>56</v>
      </c>
      <c r="M5" s="72" t="e">
        <f>#REF!</f>
        <v>#REF!</v>
      </c>
      <c r="N5" s="60" t="s">
        <v>209</v>
      </c>
      <c r="O5" s="40" t="s">
        <v>36</v>
      </c>
      <c r="P5" s="37"/>
      <c r="Q5" s="41">
        <v>130</v>
      </c>
      <c r="R5" s="83">
        <f>ROUNDUP(Q5*0.75,2)</f>
        <v>97.5</v>
      </c>
    </row>
    <row r="6" spans="1:19" ht="24.95" customHeight="1">
      <c r="A6" s="333"/>
      <c r="B6" s="62"/>
      <c r="C6" s="48" t="s">
        <v>134</v>
      </c>
      <c r="D6" s="49"/>
      <c r="E6" s="50">
        <v>20</v>
      </c>
      <c r="F6" s="51" t="s">
        <v>34</v>
      </c>
      <c r="G6" s="66" t="s">
        <v>58</v>
      </c>
      <c r="H6" s="70" t="s">
        <v>134</v>
      </c>
      <c r="I6" s="49"/>
      <c r="J6" s="51">
        <f t="shared" si="0"/>
        <v>15</v>
      </c>
      <c r="K6" s="51" t="s">
        <v>34</v>
      </c>
      <c r="L6" s="51" t="s">
        <v>58</v>
      </c>
      <c r="M6" s="74" t="e">
        <f>#REF!</f>
        <v>#REF!</v>
      </c>
      <c r="N6" s="62" t="s">
        <v>210</v>
      </c>
      <c r="O6" s="52" t="s">
        <v>28</v>
      </c>
      <c r="P6" s="49"/>
      <c r="Q6" s="53">
        <v>2</v>
      </c>
      <c r="R6" s="85">
        <f>ROUNDUP(Q6*0.75,2)</f>
        <v>1.5</v>
      </c>
    </row>
    <row r="7" spans="1:19" ht="24.95" customHeight="1">
      <c r="A7" s="333"/>
      <c r="B7" s="62"/>
      <c r="C7" s="48" t="s">
        <v>128</v>
      </c>
      <c r="D7" s="49" t="s">
        <v>129</v>
      </c>
      <c r="E7" s="77">
        <v>0.5</v>
      </c>
      <c r="F7" s="51" t="s">
        <v>40</v>
      </c>
      <c r="G7" s="66"/>
      <c r="H7" s="70" t="s">
        <v>128</v>
      </c>
      <c r="I7" s="49" t="s">
        <v>129</v>
      </c>
      <c r="J7" s="51">
        <f t="shared" si="0"/>
        <v>0.38</v>
      </c>
      <c r="K7" s="51" t="s">
        <v>40</v>
      </c>
      <c r="L7" s="51"/>
      <c r="M7" s="74" t="e">
        <f>#REF!</f>
        <v>#REF!</v>
      </c>
      <c r="N7" s="62" t="s">
        <v>211</v>
      </c>
      <c r="O7" s="52" t="s">
        <v>45</v>
      </c>
      <c r="P7" s="49"/>
      <c r="Q7" s="53">
        <v>0.1</v>
      </c>
      <c r="R7" s="85">
        <f>ROUNDUP(Q7*0.75,2)</f>
        <v>0.08</v>
      </c>
    </row>
    <row r="8" spans="1:19" ht="24.95" customHeight="1">
      <c r="A8" s="333"/>
      <c r="B8" s="62"/>
      <c r="C8" s="48" t="s">
        <v>136</v>
      </c>
      <c r="D8" s="49"/>
      <c r="E8" s="50">
        <v>20</v>
      </c>
      <c r="F8" s="51" t="s">
        <v>34</v>
      </c>
      <c r="G8" s="66"/>
      <c r="H8" s="70" t="s">
        <v>136</v>
      </c>
      <c r="I8" s="49"/>
      <c r="J8" s="51">
        <f t="shared" si="0"/>
        <v>15</v>
      </c>
      <c r="K8" s="51" t="s">
        <v>34</v>
      </c>
      <c r="L8" s="51"/>
      <c r="M8" s="74" t="e">
        <f>ROUND(#REF!+(#REF!*15/100),2)</f>
        <v>#REF!</v>
      </c>
      <c r="N8" s="62" t="s">
        <v>18</v>
      </c>
      <c r="O8" s="52" t="s">
        <v>35</v>
      </c>
      <c r="P8" s="49" t="s">
        <v>23</v>
      </c>
      <c r="Q8" s="53">
        <v>3.5</v>
      </c>
      <c r="R8" s="85">
        <f>ROUNDUP(Q8*0.75,2)</f>
        <v>2.63</v>
      </c>
    </row>
    <row r="9" spans="1:19" ht="24.95" customHeight="1">
      <c r="A9" s="333"/>
      <c r="B9" s="62"/>
      <c r="C9" s="48" t="s">
        <v>61</v>
      </c>
      <c r="D9" s="49"/>
      <c r="E9" s="50">
        <v>10</v>
      </c>
      <c r="F9" s="51" t="s">
        <v>34</v>
      </c>
      <c r="G9" s="66" t="s">
        <v>33</v>
      </c>
      <c r="H9" s="70" t="s">
        <v>61</v>
      </c>
      <c r="I9" s="49"/>
      <c r="J9" s="51">
        <f t="shared" si="0"/>
        <v>7.5</v>
      </c>
      <c r="K9" s="51" t="s">
        <v>34</v>
      </c>
      <c r="L9" s="51" t="s">
        <v>33</v>
      </c>
      <c r="M9" s="74" t="e">
        <f>#REF!</f>
        <v>#REF!</v>
      </c>
      <c r="N9" s="62"/>
      <c r="O9" s="52"/>
      <c r="P9" s="49"/>
      <c r="Q9" s="53"/>
      <c r="R9" s="85"/>
    </row>
    <row r="10" spans="1:19" ht="24.95" customHeight="1">
      <c r="A10" s="333"/>
      <c r="B10" s="62"/>
      <c r="C10" s="48" t="s">
        <v>137</v>
      </c>
      <c r="D10" s="49"/>
      <c r="E10" s="50">
        <v>10</v>
      </c>
      <c r="F10" s="51" t="s">
        <v>34</v>
      </c>
      <c r="G10" s="66"/>
      <c r="H10" s="70" t="s">
        <v>137</v>
      </c>
      <c r="I10" s="49"/>
      <c r="J10" s="51">
        <f t="shared" si="0"/>
        <v>7.5</v>
      </c>
      <c r="K10" s="51" t="s">
        <v>34</v>
      </c>
      <c r="L10" s="51"/>
      <c r="M10" s="74" t="e">
        <f>ROUND(#REF!+(#REF!*10/100),2)</f>
        <v>#REF!</v>
      </c>
      <c r="N10" s="62"/>
      <c r="O10" s="52"/>
      <c r="P10" s="49"/>
      <c r="Q10" s="53"/>
      <c r="R10" s="85"/>
    </row>
    <row r="11" spans="1:19" ht="24.95" customHeight="1">
      <c r="A11" s="333"/>
      <c r="B11" s="62"/>
      <c r="C11" s="48" t="s">
        <v>100</v>
      </c>
      <c r="D11" s="49"/>
      <c r="E11" s="50">
        <v>5</v>
      </c>
      <c r="F11" s="51" t="s">
        <v>34</v>
      </c>
      <c r="G11" s="66" t="s">
        <v>53</v>
      </c>
      <c r="H11" s="70" t="s">
        <v>100</v>
      </c>
      <c r="I11" s="49"/>
      <c r="J11" s="51">
        <f t="shared" si="0"/>
        <v>3.75</v>
      </c>
      <c r="K11" s="51" t="s">
        <v>34</v>
      </c>
      <c r="L11" s="51" t="s">
        <v>53</v>
      </c>
      <c r="M11" s="74" t="e">
        <f>#REF!</f>
        <v>#REF!</v>
      </c>
      <c r="N11" s="62"/>
      <c r="O11" s="52"/>
      <c r="P11" s="49"/>
      <c r="Q11" s="53"/>
      <c r="R11" s="85"/>
    </row>
    <row r="12" spans="1:19" ht="24.95" customHeight="1">
      <c r="A12" s="333"/>
      <c r="B12" s="61"/>
      <c r="C12" s="42"/>
      <c r="D12" s="43"/>
      <c r="E12" s="44"/>
      <c r="F12" s="45"/>
      <c r="G12" s="65"/>
      <c r="H12" s="69"/>
      <c r="I12" s="43"/>
      <c r="J12" s="45"/>
      <c r="K12" s="45"/>
      <c r="L12" s="45"/>
      <c r="M12" s="73"/>
      <c r="N12" s="61"/>
      <c r="O12" s="46"/>
      <c r="P12" s="43"/>
      <c r="Q12" s="47"/>
      <c r="R12" s="84"/>
    </row>
    <row r="13" spans="1:19" ht="24.95" customHeight="1">
      <c r="A13" s="333"/>
      <c r="B13" s="62" t="s">
        <v>212</v>
      </c>
      <c r="C13" s="48" t="s">
        <v>92</v>
      </c>
      <c r="D13" s="49"/>
      <c r="E13" s="50">
        <v>20</v>
      </c>
      <c r="F13" s="51" t="s">
        <v>34</v>
      </c>
      <c r="G13" s="66" t="s">
        <v>58</v>
      </c>
      <c r="H13" s="70" t="s">
        <v>92</v>
      </c>
      <c r="I13" s="49"/>
      <c r="J13" s="51">
        <f>ROUNDUP(E13*0.75,2)</f>
        <v>15</v>
      </c>
      <c r="K13" s="51" t="s">
        <v>34</v>
      </c>
      <c r="L13" s="51" t="s">
        <v>58</v>
      </c>
      <c r="M13" s="74" t="e">
        <f>#REF!</f>
        <v>#REF!</v>
      </c>
      <c r="N13" s="62" t="s">
        <v>213</v>
      </c>
      <c r="O13" s="52" t="s">
        <v>114</v>
      </c>
      <c r="P13" s="49"/>
      <c r="Q13" s="53">
        <v>3</v>
      </c>
      <c r="R13" s="85">
        <f>ROUNDUP(Q13*0.75,2)</f>
        <v>2.25</v>
      </c>
    </row>
    <row r="14" spans="1:19" ht="24.95" customHeight="1">
      <c r="A14" s="333"/>
      <c r="B14" s="62"/>
      <c r="C14" s="48" t="s">
        <v>203</v>
      </c>
      <c r="D14" s="49"/>
      <c r="E14" s="50">
        <v>20</v>
      </c>
      <c r="F14" s="51" t="s">
        <v>34</v>
      </c>
      <c r="G14" s="66"/>
      <c r="H14" s="70" t="s">
        <v>203</v>
      </c>
      <c r="I14" s="49"/>
      <c r="J14" s="51">
        <f>ROUNDUP(E14*0.75,2)</f>
        <v>15</v>
      </c>
      <c r="K14" s="51" t="s">
        <v>34</v>
      </c>
      <c r="L14" s="51"/>
      <c r="M14" s="74" t="e">
        <f>ROUND(#REF!+(#REF!*10/100),2)</f>
        <v>#REF!</v>
      </c>
      <c r="N14" s="62" t="s">
        <v>214</v>
      </c>
      <c r="O14" s="52" t="s">
        <v>24</v>
      </c>
      <c r="P14" s="49"/>
      <c r="Q14" s="53">
        <v>4</v>
      </c>
      <c r="R14" s="85">
        <f>ROUNDUP(Q14*0.75,2)</f>
        <v>3</v>
      </c>
    </row>
    <row r="15" spans="1:19" ht="24.95" customHeight="1">
      <c r="A15" s="333"/>
      <c r="B15" s="62"/>
      <c r="C15" s="48"/>
      <c r="D15" s="49"/>
      <c r="E15" s="50"/>
      <c r="F15" s="51"/>
      <c r="G15" s="66"/>
      <c r="H15" s="70"/>
      <c r="I15" s="49"/>
      <c r="J15" s="51"/>
      <c r="K15" s="51"/>
      <c r="L15" s="51"/>
      <c r="M15" s="74"/>
      <c r="N15" s="62" t="s">
        <v>215</v>
      </c>
      <c r="O15" s="52" t="s">
        <v>35</v>
      </c>
      <c r="P15" s="49" t="s">
        <v>23</v>
      </c>
      <c r="Q15" s="53">
        <v>1</v>
      </c>
      <c r="R15" s="85">
        <f>ROUNDUP(Q15*0.75,2)</f>
        <v>0.75</v>
      </c>
    </row>
    <row r="16" spans="1:19" ht="24.95" customHeight="1">
      <c r="A16" s="333"/>
      <c r="B16" s="62"/>
      <c r="C16" s="48"/>
      <c r="D16" s="49"/>
      <c r="E16" s="50"/>
      <c r="F16" s="51"/>
      <c r="G16" s="66"/>
      <c r="H16" s="70"/>
      <c r="I16" s="49"/>
      <c r="J16" s="51"/>
      <c r="K16" s="51"/>
      <c r="L16" s="51"/>
      <c r="M16" s="74"/>
      <c r="N16" s="62" t="s">
        <v>91</v>
      </c>
      <c r="O16" s="52" t="s">
        <v>27</v>
      </c>
      <c r="P16" s="49"/>
      <c r="Q16" s="53">
        <v>2</v>
      </c>
      <c r="R16" s="85">
        <f>ROUNDUP(Q16*0.75,2)</f>
        <v>1.5</v>
      </c>
    </row>
    <row r="17" spans="1:18" ht="24.95" customHeight="1">
      <c r="A17" s="333"/>
      <c r="B17" s="62"/>
      <c r="C17" s="48"/>
      <c r="D17" s="49"/>
      <c r="E17" s="50"/>
      <c r="F17" s="51"/>
      <c r="G17" s="66"/>
      <c r="H17" s="70"/>
      <c r="I17" s="49"/>
      <c r="J17" s="51"/>
      <c r="K17" s="51"/>
      <c r="L17" s="51"/>
      <c r="M17" s="74"/>
      <c r="N17" s="62" t="s">
        <v>18</v>
      </c>
      <c r="O17" s="52" t="s">
        <v>102</v>
      </c>
      <c r="P17" s="49"/>
      <c r="Q17" s="53">
        <v>0.5</v>
      </c>
      <c r="R17" s="85">
        <f>ROUNDUP(Q17*0.75,2)</f>
        <v>0.38</v>
      </c>
    </row>
    <row r="18" spans="1:18" ht="24.95" customHeight="1">
      <c r="A18" s="333"/>
      <c r="B18" s="61"/>
      <c r="C18" s="42"/>
      <c r="D18" s="43"/>
      <c r="E18" s="44"/>
      <c r="F18" s="45"/>
      <c r="G18" s="65"/>
      <c r="H18" s="69"/>
      <c r="I18" s="43"/>
      <c r="J18" s="45"/>
      <c r="K18" s="45"/>
      <c r="L18" s="45"/>
      <c r="M18" s="73"/>
      <c r="N18" s="61"/>
      <c r="O18" s="46"/>
      <c r="P18" s="43"/>
      <c r="Q18" s="47"/>
      <c r="R18" s="84"/>
    </row>
    <row r="19" spans="1:18" ht="24.95" customHeight="1">
      <c r="A19" s="333"/>
      <c r="B19" s="62" t="s">
        <v>145</v>
      </c>
      <c r="C19" s="48" t="s">
        <v>147</v>
      </c>
      <c r="D19" s="49"/>
      <c r="E19" s="79">
        <v>0.125</v>
      </c>
      <c r="F19" s="51" t="s">
        <v>40</v>
      </c>
      <c r="G19" s="66"/>
      <c r="H19" s="70" t="s">
        <v>147</v>
      </c>
      <c r="I19" s="49"/>
      <c r="J19" s="51">
        <f>ROUNDUP(E19*0.75,2)</f>
        <v>9.9999999999999992E-2</v>
      </c>
      <c r="K19" s="51" t="s">
        <v>40</v>
      </c>
      <c r="L19" s="51"/>
      <c r="M19" s="74" t="e">
        <f>#REF!</f>
        <v>#REF!</v>
      </c>
      <c r="N19" s="62" t="s">
        <v>146</v>
      </c>
      <c r="O19" s="52"/>
      <c r="P19" s="49"/>
      <c r="Q19" s="53"/>
      <c r="R19" s="85"/>
    </row>
    <row r="20" spans="1:18" ht="24.95" customHeight="1" thickBot="1">
      <c r="A20" s="334"/>
      <c r="B20" s="63"/>
      <c r="C20" s="54"/>
      <c r="D20" s="55"/>
      <c r="E20" s="56"/>
      <c r="F20" s="57"/>
      <c r="G20" s="67"/>
      <c r="H20" s="71"/>
      <c r="I20" s="55"/>
      <c r="J20" s="57"/>
      <c r="K20" s="57"/>
      <c r="L20" s="57"/>
      <c r="M20" s="75"/>
      <c r="N20" s="63"/>
      <c r="O20" s="58"/>
      <c r="P20" s="55"/>
      <c r="Q20" s="59"/>
      <c r="R20" s="86"/>
    </row>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278</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216</v>
      </c>
      <c r="C7" s="48" t="s">
        <v>19</v>
      </c>
      <c r="D7" s="49"/>
      <c r="E7" s="50">
        <v>1</v>
      </c>
      <c r="F7" s="51" t="s">
        <v>21</v>
      </c>
      <c r="G7" s="66" t="s">
        <v>20</v>
      </c>
      <c r="H7" s="70" t="s">
        <v>19</v>
      </c>
      <c r="I7" s="49"/>
      <c r="J7" s="51">
        <f>ROUNDUP(E7*0.75,2)</f>
        <v>0.75</v>
      </c>
      <c r="K7" s="51" t="s">
        <v>21</v>
      </c>
      <c r="L7" s="51" t="s">
        <v>20</v>
      </c>
      <c r="M7" s="74" t="e">
        <f>#REF!</f>
        <v>#REF!</v>
      </c>
      <c r="N7" s="62" t="s">
        <v>275</v>
      </c>
      <c r="O7" s="52" t="s">
        <v>114</v>
      </c>
      <c r="P7" s="49"/>
      <c r="Q7" s="53">
        <v>3</v>
      </c>
      <c r="R7" s="85">
        <f t="shared" ref="R7:R12" si="0">ROUNDUP(Q7*0.75,2)</f>
        <v>2.25</v>
      </c>
    </row>
    <row r="8" spans="1:19" ht="24.95" customHeight="1">
      <c r="A8" s="333"/>
      <c r="B8" s="62"/>
      <c r="C8" s="48" t="s">
        <v>237</v>
      </c>
      <c r="D8" s="49"/>
      <c r="E8" s="50">
        <v>10</v>
      </c>
      <c r="F8" s="51" t="s">
        <v>34</v>
      </c>
      <c r="G8" s="66"/>
      <c r="H8" s="70" t="s">
        <v>237</v>
      </c>
      <c r="I8" s="49"/>
      <c r="J8" s="51">
        <f>ROUNDUP(E8*0.75,2)</f>
        <v>7.5</v>
      </c>
      <c r="K8" s="51" t="s">
        <v>34</v>
      </c>
      <c r="L8" s="51"/>
      <c r="M8" s="74" t="e">
        <f>ROUND(#REF!+(#REF!*50/100),2)</f>
        <v>#REF!</v>
      </c>
      <c r="N8" s="62" t="s">
        <v>217</v>
      </c>
      <c r="O8" s="52" t="s">
        <v>24</v>
      </c>
      <c r="P8" s="49"/>
      <c r="Q8" s="53">
        <v>3</v>
      </c>
      <c r="R8" s="85">
        <f t="shared" si="0"/>
        <v>2.25</v>
      </c>
    </row>
    <row r="9" spans="1:19" ht="24.95" customHeight="1">
      <c r="A9" s="333"/>
      <c r="B9" s="62"/>
      <c r="C9" s="48"/>
      <c r="D9" s="49"/>
      <c r="E9" s="50"/>
      <c r="F9" s="51"/>
      <c r="G9" s="66"/>
      <c r="H9" s="70"/>
      <c r="I9" s="49"/>
      <c r="J9" s="51"/>
      <c r="K9" s="51"/>
      <c r="L9" s="51"/>
      <c r="M9" s="74"/>
      <c r="N9" s="62" t="s">
        <v>18</v>
      </c>
      <c r="O9" s="52" t="s">
        <v>36</v>
      </c>
      <c r="P9" s="49"/>
      <c r="Q9" s="53">
        <v>10</v>
      </c>
      <c r="R9" s="85">
        <f t="shared" si="0"/>
        <v>7.5</v>
      </c>
    </row>
    <row r="10" spans="1:19" ht="24.95" customHeight="1">
      <c r="A10" s="333"/>
      <c r="B10" s="62"/>
      <c r="C10" s="48"/>
      <c r="D10" s="49"/>
      <c r="E10" s="50"/>
      <c r="F10" s="51"/>
      <c r="G10" s="66"/>
      <c r="H10" s="70"/>
      <c r="I10" s="49"/>
      <c r="J10" s="51"/>
      <c r="K10" s="51"/>
      <c r="L10" s="51"/>
      <c r="M10" s="74"/>
      <c r="N10" s="62"/>
      <c r="O10" s="52" t="s">
        <v>27</v>
      </c>
      <c r="P10" s="49"/>
      <c r="Q10" s="53">
        <v>2</v>
      </c>
      <c r="R10" s="85">
        <f t="shared" si="0"/>
        <v>1.5</v>
      </c>
    </row>
    <row r="11" spans="1:19" ht="24.95" customHeight="1">
      <c r="A11" s="333"/>
      <c r="B11" s="62"/>
      <c r="C11" s="48"/>
      <c r="D11" s="49"/>
      <c r="E11" s="50"/>
      <c r="F11" s="51"/>
      <c r="G11" s="66"/>
      <c r="H11" s="70"/>
      <c r="I11" s="49"/>
      <c r="J11" s="51"/>
      <c r="K11" s="51"/>
      <c r="L11" s="51"/>
      <c r="M11" s="74"/>
      <c r="N11" s="62"/>
      <c r="O11" s="52" t="s">
        <v>35</v>
      </c>
      <c r="P11" s="49" t="s">
        <v>23</v>
      </c>
      <c r="Q11" s="53">
        <v>1.5</v>
      </c>
      <c r="R11" s="85">
        <f t="shared" si="0"/>
        <v>1.1300000000000001</v>
      </c>
    </row>
    <row r="12" spans="1:19" ht="24.95" customHeight="1">
      <c r="A12" s="333"/>
      <c r="B12" s="62"/>
      <c r="C12" s="48"/>
      <c r="D12" s="49"/>
      <c r="E12" s="50"/>
      <c r="F12" s="51"/>
      <c r="G12" s="66"/>
      <c r="H12" s="70"/>
      <c r="I12" s="49"/>
      <c r="J12" s="51"/>
      <c r="K12" s="51"/>
      <c r="L12" s="51"/>
      <c r="M12" s="74"/>
      <c r="N12" s="62"/>
      <c r="O12" s="52" t="s">
        <v>28</v>
      </c>
      <c r="P12" s="49"/>
      <c r="Q12" s="53">
        <v>1.5</v>
      </c>
      <c r="R12" s="85">
        <f t="shared" si="0"/>
        <v>1.1300000000000001</v>
      </c>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218</v>
      </c>
      <c r="C14" s="48" t="s">
        <v>63</v>
      </c>
      <c r="D14" s="49"/>
      <c r="E14" s="50">
        <v>10</v>
      </c>
      <c r="F14" s="51" t="s">
        <v>34</v>
      </c>
      <c r="G14" s="66" t="s">
        <v>58</v>
      </c>
      <c r="H14" s="70" t="s">
        <v>63</v>
      </c>
      <c r="I14" s="49"/>
      <c r="J14" s="51">
        <f t="shared" ref="J14:J19" si="1">ROUNDUP(E14*0.75,2)</f>
        <v>7.5</v>
      </c>
      <c r="K14" s="51" t="s">
        <v>34</v>
      </c>
      <c r="L14" s="51" t="s">
        <v>58</v>
      </c>
      <c r="M14" s="74" t="e">
        <f>#REF!</f>
        <v>#REF!</v>
      </c>
      <c r="N14" s="62" t="s">
        <v>219</v>
      </c>
      <c r="O14" s="52" t="s">
        <v>66</v>
      </c>
      <c r="P14" s="49"/>
      <c r="Q14" s="53">
        <v>0.5</v>
      </c>
      <c r="R14" s="85">
        <f>ROUNDUP(Q14*0.75,2)</f>
        <v>0.38</v>
      </c>
    </row>
    <row r="15" spans="1:19" ht="24.95" customHeight="1">
      <c r="A15" s="333"/>
      <c r="B15" s="62"/>
      <c r="C15" s="48" t="s">
        <v>177</v>
      </c>
      <c r="D15" s="49"/>
      <c r="E15" s="50">
        <v>10</v>
      </c>
      <c r="F15" s="51" t="s">
        <v>34</v>
      </c>
      <c r="G15" s="66" t="s">
        <v>58</v>
      </c>
      <c r="H15" s="70" t="s">
        <v>177</v>
      </c>
      <c r="I15" s="49"/>
      <c r="J15" s="51">
        <f t="shared" si="1"/>
        <v>7.5</v>
      </c>
      <c r="K15" s="51" t="s">
        <v>34</v>
      </c>
      <c r="L15" s="51" t="s">
        <v>58</v>
      </c>
      <c r="M15" s="74" t="e">
        <f>#REF!</f>
        <v>#REF!</v>
      </c>
      <c r="N15" s="62" t="s">
        <v>279</v>
      </c>
      <c r="O15" s="52" t="s">
        <v>44</v>
      </c>
      <c r="P15" s="49"/>
      <c r="Q15" s="53">
        <v>2</v>
      </c>
      <c r="R15" s="85">
        <f>ROUNDUP(Q15*0.75,2)</f>
        <v>1.5</v>
      </c>
    </row>
    <row r="16" spans="1:19" ht="24.95" customHeight="1">
      <c r="A16" s="333"/>
      <c r="B16" s="62"/>
      <c r="C16" s="48" t="s">
        <v>135</v>
      </c>
      <c r="D16" s="49"/>
      <c r="E16" s="50">
        <v>20</v>
      </c>
      <c r="F16" s="51" t="s">
        <v>34</v>
      </c>
      <c r="G16" s="66"/>
      <c r="H16" s="70" t="s">
        <v>135</v>
      </c>
      <c r="I16" s="49"/>
      <c r="J16" s="51">
        <f t="shared" si="1"/>
        <v>15</v>
      </c>
      <c r="K16" s="51" t="s">
        <v>34</v>
      </c>
      <c r="L16" s="51"/>
      <c r="M16" s="74" t="e">
        <f>ROUND(#REF!+(#REF!*6/100),2)</f>
        <v>#REF!</v>
      </c>
      <c r="N16" s="62" t="s">
        <v>280</v>
      </c>
      <c r="O16" s="52" t="s">
        <v>66</v>
      </c>
      <c r="P16" s="49"/>
      <c r="Q16" s="53">
        <v>1.5</v>
      </c>
      <c r="R16" s="85">
        <f>ROUNDUP(Q16*0.75,2)</f>
        <v>1.1300000000000001</v>
      </c>
    </row>
    <row r="17" spans="1:18" ht="24.95" customHeight="1">
      <c r="A17" s="333"/>
      <c r="B17" s="62"/>
      <c r="C17" s="48" t="s">
        <v>241</v>
      </c>
      <c r="D17" s="49"/>
      <c r="E17" s="50">
        <v>3</v>
      </c>
      <c r="F17" s="51" t="s">
        <v>34</v>
      </c>
      <c r="G17" s="66"/>
      <c r="H17" s="70" t="s">
        <v>241</v>
      </c>
      <c r="I17" s="49"/>
      <c r="J17" s="51">
        <f t="shared" si="1"/>
        <v>2.25</v>
      </c>
      <c r="K17" s="51" t="s">
        <v>34</v>
      </c>
      <c r="L17" s="51"/>
      <c r="M17" s="74" t="e">
        <f>ROUND(#REF!+(#REF!*5/100),2)</f>
        <v>#REF!</v>
      </c>
      <c r="N17" s="62" t="s">
        <v>18</v>
      </c>
      <c r="O17" s="52" t="s">
        <v>27</v>
      </c>
      <c r="P17" s="49"/>
      <c r="Q17" s="53">
        <v>1.5</v>
      </c>
      <c r="R17" s="85">
        <f>ROUNDUP(Q17*0.75,2)</f>
        <v>1.1300000000000001</v>
      </c>
    </row>
    <row r="18" spans="1:18" ht="24.95" customHeight="1">
      <c r="A18" s="333"/>
      <c r="B18" s="62"/>
      <c r="C18" s="48" t="s">
        <v>137</v>
      </c>
      <c r="D18" s="49"/>
      <c r="E18" s="50">
        <v>5</v>
      </c>
      <c r="F18" s="51" t="s">
        <v>34</v>
      </c>
      <c r="G18" s="66"/>
      <c r="H18" s="70" t="s">
        <v>137</v>
      </c>
      <c r="I18" s="49"/>
      <c r="J18" s="51">
        <f t="shared" si="1"/>
        <v>3.75</v>
      </c>
      <c r="K18" s="51" t="s">
        <v>34</v>
      </c>
      <c r="L18" s="51"/>
      <c r="M18" s="74" t="e">
        <f>ROUND(#REF!+(#REF!*10/100),2)</f>
        <v>#REF!</v>
      </c>
      <c r="N18" s="62"/>
      <c r="O18" s="52" t="s">
        <v>35</v>
      </c>
      <c r="P18" s="49" t="s">
        <v>23</v>
      </c>
      <c r="Q18" s="53">
        <v>1</v>
      </c>
      <c r="R18" s="85">
        <f>ROUNDUP(Q18*0.75,2)</f>
        <v>0.75</v>
      </c>
    </row>
    <row r="19" spans="1:18" ht="24.95" customHeight="1">
      <c r="A19" s="333"/>
      <c r="B19" s="62"/>
      <c r="C19" s="48" t="s">
        <v>115</v>
      </c>
      <c r="D19" s="49"/>
      <c r="E19" s="50">
        <v>2</v>
      </c>
      <c r="F19" s="51" t="s">
        <v>34</v>
      </c>
      <c r="G19" s="66"/>
      <c r="H19" s="70" t="s">
        <v>115</v>
      </c>
      <c r="I19" s="49"/>
      <c r="J19" s="51">
        <f t="shared" si="1"/>
        <v>1.5</v>
      </c>
      <c r="K19" s="51" t="s">
        <v>34</v>
      </c>
      <c r="L19" s="51"/>
      <c r="M19" s="74" t="e">
        <f>#REF!</f>
        <v>#REF!</v>
      </c>
      <c r="N19" s="62"/>
      <c r="O19" s="52"/>
      <c r="P19" s="49"/>
      <c r="Q19" s="53"/>
      <c r="R19" s="85"/>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69</v>
      </c>
      <c r="C21" s="48" t="s">
        <v>178</v>
      </c>
      <c r="D21" s="49"/>
      <c r="E21" s="50">
        <v>20</v>
      </c>
      <c r="F21" s="51" t="s">
        <v>34</v>
      </c>
      <c r="G21" s="66"/>
      <c r="H21" s="70" t="s">
        <v>178</v>
      </c>
      <c r="I21" s="49"/>
      <c r="J21" s="51">
        <f>ROUNDUP(E21*0.75,2)</f>
        <v>15</v>
      </c>
      <c r="K21" s="51" t="s">
        <v>34</v>
      </c>
      <c r="L21" s="51"/>
      <c r="M21" s="74" t="e">
        <f>ROUND(#REF!+(#REF!*15/100),2)</f>
        <v>#REF!</v>
      </c>
      <c r="N21" s="62" t="s">
        <v>18</v>
      </c>
      <c r="O21" s="52" t="s">
        <v>36</v>
      </c>
      <c r="P21" s="49"/>
      <c r="Q21" s="53">
        <v>100</v>
      </c>
      <c r="R21" s="85">
        <f>ROUNDUP(Q21*0.75,2)</f>
        <v>75</v>
      </c>
    </row>
    <row r="22" spans="1:18" ht="24.95" customHeight="1">
      <c r="A22" s="333"/>
      <c r="B22" s="62"/>
      <c r="C22" s="48" t="s">
        <v>48</v>
      </c>
      <c r="D22" s="49"/>
      <c r="E22" s="50">
        <v>0.5</v>
      </c>
      <c r="F22" s="51" t="s">
        <v>34</v>
      </c>
      <c r="G22" s="66" t="s">
        <v>49</v>
      </c>
      <c r="H22" s="70" t="s">
        <v>48</v>
      </c>
      <c r="I22" s="49"/>
      <c r="J22" s="51">
        <f>ROUNDUP(E22*0.75,2)</f>
        <v>0.38</v>
      </c>
      <c r="K22" s="51" t="s">
        <v>34</v>
      </c>
      <c r="L22" s="51" t="s">
        <v>49</v>
      </c>
      <c r="M22" s="74" t="e">
        <f>#REF!</f>
        <v>#REF!</v>
      </c>
      <c r="N22" s="62"/>
      <c r="O22" s="52" t="s">
        <v>29</v>
      </c>
      <c r="P22" s="49"/>
      <c r="Q22" s="53">
        <v>3</v>
      </c>
      <c r="R22" s="85">
        <f>ROUNDUP(Q22*0.75,2)</f>
        <v>2.25</v>
      </c>
    </row>
    <row r="23" spans="1:18" ht="24.95" customHeight="1">
      <c r="A23" s="333"/>
      <c r="B23" s="61"/>
      <c r="C23" s="42"/>
      <c r="D23" s="43"/>
      <c r="E23" s="44"/>
      <c r="F23" s="45"/>
      <c r="G23" s="65"/>
      <c r="H23" s="69"/>
      <c r="I23" s="43"/>
      <c r="J23" s="45"/>
      <c r="K23" s="45"/>
      <c r="L23" s="45"/>
      <c r="M23" s="73"/>
      <c r="N23" s="61"/>
      <c r="O23" s="46"/>
      <c r="P23" s="43"/>
      <c r="Q23" s="47"/>
      <c r="R23" s="84"/>
    </row>
    <row r="24" spans="1:18" ht="24.95" customHeight="1">
      <c r="A24" s="333"/>
      <c r="B24" s="62" t="s">
        <v>153</v>
      </c>
      <c r="C24" s="48" t="s">
        <v>154</v>
      </c>
      <c r="D24" s="49"/>
      <c r="E24" s="76">
        <v>0.25</v>
      </c>
      <c r="F24" s="51" t="s">
        <v>40</v>
      </c>
      <c r="G24" s="66"/>
      <c r="H24" s="70" t="s">
        <v>154</v>
      </c>
      <c r="I24" s="49"/>
      <c r="J24" s="51">
        <f>ROUNDUP(E24*0.75,2)</f>
        <v>0.19</v>
      </c>
      <c r="K24" s="51" t="s">
        <v>40</v>
      </c>
      <c r="L24" s="51"/>
      <c r="M24" s="74" t="e">
        <f>#REF!</f>
        <v>#REF!</v>
      </c>
      <c r="N24" s="62" t="s">
        <v>146</v>
      </c>
      <c r="O24" s="52"/>
      <c r="P24" s="49"/>
      <c r="Q24" s="53"/>
      <c r="R24" s="85"/>
    </row>
    <row r="25" spans="1:18" ht="24.95" customHeight="1" thickBot="1">
      <c r="A25" s="334"/>
      <c r="B25" s="63"/>
      <c r="C25" s="54"/>
      <c r="D25" s="55"/>
      <c r="E25" s="56"/>
      <c r="F25" s="57"/>
      <c r="G25" s="67"/>
      <c r="H25" s="71"/>
      <c r="I25" s="55"/>
      <c r="J25" s="57"/>
      <c r="K25" s="57"/>
      <c r="L25" s="57"/>
      <c r="M25" s="75"/>
      <c r="N25" s="63"/>
      <c r="O25" s="58"/>
      <c r="P25" s="55"/>
      <c r="Q25" s="59"/>
      <c r="R25" s="86"/>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258</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105</v>
      </c>
      <c r="C5" s="36" t="s">
        <v>106</v>
      </c>
      <c r="D5" s="37" t="s">
        <v>107</v>
      </c>
      <c r="E5" s="80">
        <v>0.5</v>
      </c>
      <c r="F5" s="39" t="s">
        <v>90</v>
      </c>
      <c r="G5" s="64" t="s">
        <v>53</v>
      </c>
      <c r="H5" s="68" t="s">
        <v>106</v>
      </c>
      <c r="I5" s="37" t="s">
        <v>107</v>
      </c>
      <c r="J5" s="39">
        <f>ROUNDUP(E5*0.75,2)</f>
        <v>0.38</v>
      </c>
      <c r="K5" s="39" t="s">
        <v>90</v>
      </c>
      <c r="L5" s="39" t="s">
        <v>53</v>
      </c>
      <c r="M5" s="72" t="e">
        <f>#REF!</f>
        <v>#REF!</v>
      </c>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221</v>
      </c>
      <c r="C7" s="48" t="s">
        <v>128</v>
      </c>
      <c r="D7" s="49" t="s">
        <v>129</v>
      </c>
      <c r="E7" s="50">
        <v>1</v>
      </c>
      <c r="F7" s="51" t="s">
        <v>40</v>
      </c>
      <c r="G7" s="66"/>
      <c r="H7" s="70" t="s">
        <v>128</v>
      </c>
      <c r="I7" s="49" t="s">
        <v>129</v>
      </c>
      <c r="J7" s="51">
        <f t="shared" ref="J7:J12" si="0">ROUNDUP(E7*0.75,2)</f>
        <v>0.75</v>
      </c>
      <c r="K7" s="51" t="s">
        <v>40</v>
      </c>
      <c r="L7" s="51"/>
      <c r="M7" s="74" t="e">
        <f>#REF!</f>
        <v>#REF!</v>
      </c>
      <c r="N7" s="62" t="s">
        <v>222</v>
      </c>
      <c r="O7" s="52" t="s">
        <v>66</v>
      </c>
      <c r="P7" s="49"/>
      <c r="Q7" s="53">
        <v>0.5</v>
      </c>
      <c r="R7" s="85">
        <f>ROUNDUP(Q7*0.75,2)</f>
        <v>0.38</v>
      </c>
    </row>
    <row r="8" spans="1:19" ht="24.95" customHeight="1">
      <c r="A8" s="333"/>
      <c r="B8" s="62"/>
      <c r="C8" s="48" t="s">
        <v>63</v>
      </c>
      <c r="D8" s="49"/>
      <c r="E8" s="50">
        <v>10</v>
      </c>
      <c r="F8" s="51" t="s">
        <v>34</v>
      </c>
      <c r="G8" s="66" t="s">
        <v>58</v>
      </c>
      <c r="H8" s="70" t="s">
        <v>63</v>
      </c>
      <c r="I8" s="49"/>
      <c r="J8" s="51">
        <f t="shared" si="0"/>
        <v>7.5</v>
      </c>
      <c r="K8" s="51" t="s">
        <v>34</v>
      </c>
      <c r="L8" s="51" t="s">
        <v>58</v>
      </c>
      <c r="M8" s="74" t="e">
        <f>#REF!</f>
        <v>#REF!</v>
      </c>
      <c r="N8" s="62" t="s">
        <v>223</v>
      </c>
      <c r="O8" s="52" t="s">
        <v>114</v>
      </c>
      <c r="P8" s="49"/>
      <c r="Q8" s="53">
        <v>1</v>
      </c>
      <c r="R8" s="85">
        <f>ROUNDUP(Q8*0.75,2)</f>
        <v>0.75</v>
      </c>
    </row>
    <row r="9" spans="1:19" ht="24.95" customHeight="1">
      <c r="A9" s="333"/>
      <c r="B9" s="62"/>
      <c r="C9" s="48" t="s">
        <v>240</v>
      </c>
      <c r="D9" s="49"/>
      <c r="E9" s="50">
        <v>30</v>
      </c>
      <c r="F9" s="51" t="s">
        <v>34</v>
      </c>
      <c r="G9" s="66"/>
      <c r="H9" s="70" t="s">
        <v>240</v>
      </c>
      <c r="I9" s="49"/>
      <c r="J9" s="51">
        <f t="shared" si="0"/>
        <v>22.5</v>
      </c>
      <c r="K9" s="51" t="s">
        <v>34</v>
      </c>
      <c r="L9" s="51"/>
      <c r="M9" s="74" t="e">
        <f>ROUND(#REF!+(#REF!*3/100),2)</f>
        <v>#REF!</v>
      </c>
      <c r="N9" s="62" t="s">
        <v>269</v>
      </c>
      <c r="O9" s="52" t="s">
        <v>44</v>
      </c>
      <c r="P9" s="49"/>
      <c r="Q9" s="53">
        <v>2</v>
      </c>
      <c r="R9" s="85">
        <f>ROUNDUP(Q9*0.75,2)</f>
        <v>1.5</v>
      </c>
    </row>
    <row r="10" spans="1:19" ht="24.95" customHeight="1">
      <c r="A10" s="333"/>
      <c r="B10" s="62"/>
      <c r="C10" s="48" t="s">
        <v>137</v>
      </c>
      <c r="D10" s="49"/>
      <c r="E10" s="50">
        <v>10</v>
      </c>
      <c r="F10" s="51" t="s">
        <v>34</v>
      </c>
      <c r="G10" s="66"/>
      <c r="H10" s="70" t="s">
        <v>137</v>
      </c>
      <c r="I10" s="49"/>
      <c r="J10" s="51">
        <f t="shared" si="0"/>
        <v>7.5</v>
      </c>
      <c r="K10" s="51" t="s">
        <v>34</v>
      </c>
      <c r="L10" s="51"/>
      <c r="M10" s="74" t="e">
        <f>ROUND(#REF!+(#REF!*10/100),2)</f>
        <v>#REF!</v>
      </c>
      <c r="N10" s="62" t="s">
        <v>282</v>
      </c>
      <c r="O10" s="52" t="s">
        <v>44</v>
      </c>
      <c r="P10" s="49"/>
      <c r="Q10" s="53">
        <v>1</v>
      </c>
      <c r="R10" s="85">
        <f>ROUNDUP(Q10*0.75,2)</f>
        <v>0.75</v>
      </c>
    </row>
    <row r="11" spans="1:19" ht="24.95" customHeight="1">
      <c r="A11" s="333"/>
      <c r="B11" s="62"/>
      <c r="C11" s="48" t="s">
        <v>174</v>
      </c>
      <c r="D11" s="49"/>
      <c r="E11" s="50">
        <v>5</v>
      </c>
      <c r="F11" s="51" t="s">
        <v>34</v>
      </c>
      <c r="G11" s="66"/>
      <c r="H11" s="70" t="s">
        <v>174</v>
      </c>
      <c r="I11" s="49"/>
      <c r="J11" s="51">
        <f t="shared" si="0"/>
        <v>3.75</v>
      </c>
      <c r="K11" s="51" t="s">
        <v>34</v>
      </c>
      <c r="L11" s="51"/>
      <c r="M11" s="74" t="e">
        <f>ROUND(#REF!+(#REF!*15/100),2)</f>
        <v>#REF!</v>
      </c>
      <c r="N11" s="62" t="s">
        <v>18</v>
      </c>
      <c r="O11" s="52" t="s">
        <v>35</v>
      </c>
      <c r="P11" s="49" t="s">
        <v>23</v>
      </c>
      <c r="Q11" s="53">
        <v>1</v>
      </c>
      <c r="R11" s="85">
        <f>ROUNDUP(Q11*0.75,2)</f>
        <v>0.75</v>
      </c>
    </row>
    <row r="12" spans="1:19" ht="24.95" customHeight="1">
      <c r="A12" s="333"/>
      <c r="B12" s="62"/>
      <c r="C12" s="48" t="s">
        <v>224</v>
      </c>
      <c r="D12" s="49"/>
      <c r="E12" s="79">
        <v>0.125</v>
      </c>
      <c r="F12" s="51" t="s">
        <v>90</v>
      </c>
      <c r="G12" s="66"/>
      <c r="H12" s="70" t="s">
        <v>224</v>
      </c>
      <c r="I12" s="49"/>
      <c r="J12" s="51">
        <f t="shared" si="0"/>
        <v>9.9999999999999992E-2</v>
      </c>
      <c r="K12" s="51" t="s">
        <v>90</v>
      </c>
      <c r="L12" s="51"/>
      <c r="M12" s="74" t="e">
        <f>#REF!</f>
        <v>#REF!</v>
      </c>
      <c r="N12" s="62"/>
      <c r="O12" s="52"/>
      <c r="P12" s="49"/>
      <c r="Q12" s="53"/>
      <c r="R12" s="85"/>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225</v>
      </c>
      <c r="C14" s="48" t="s">
        <v>173</v>
      </c>
      <c r="D14" s="49"/>
      <c r="E14" s="50">
        <v>40</v>
      </c>
      <c r="F14" s="51" t="s">
        <v>34</v>
      </c>
      <c r="G14" s="66"/>
      <c r="H14" s="70" t="s">
        <v>173</v>
      </c>
      <c r="I14" s="49"/>
      <c r="J14" s="51">
        <f>ROUNDUP(E14*0.75,2)</f>
        <v>30</v>
      </c>
      <c r="K14" s="51" t="s">
        <v>34</v>
      </c>
      <c r="L14" s="51"/>
      <c r="M14" s="74" t="e">
        <f>ROUND(#REF!+(#REF!*10/100),2)</f>
        <v>#REF!</v>
      </c>
      <c r="N14" s="62" t="s">
        <v>287</v>
      </c>
      <c r="O14" s="52" t="s">
        <v>27</v>
      </c>
      <c r="P14" s="49"/>
      <c r="Q14" s="53">
        <v>0.3</v>
      </c>
      <c r="R14" s="85">
        <f>ROUNDUP(Q14*0.75,2)</f>
        <v>0.23</v>
      </c>
    </row>
    <row r="15" spans="1:19" ht="24.95" customHeight="1">
      <c r="A15" s="333"/>
      <c r="B15" s="62"/>
      <c r="C15" s="48" t="s">
        <v>144</v>
      </c>
      <c r="D15" s="49"/>
      <c r="E15" s="50">
        <v>5</v>
      </c>
      <c r="F15" s="51" t="s">
        <v>34</v>
      </c>
      <c r="G15" s="66"/>
      <c r="H15" s="70" t="s">
        <v>144</v>
      </c>
      <c r="I15" s="49"/>
      <c r="J15" s="51">
        <f>ROUNDUP(E15*0.75,2)</f>
        <v>3.75</v>
      </c>
      <c r="K15" s="51" t="s">
        <v>34</v>
      </c>
      <c r="L15" s="51"/>
      <c r="M15" s="74" t="e">
        <f>ROUND(#REF!+(#REF!*2/100),2)</f>
        <v>#REF!</v>
      </c>
      <c r="N15" s="62" t="s">
        <v>226</v>
      </c>
      <c r="O15" s="52" t="s">
        <v>45</v>
      </c>
      <c r="P15" s="49"/>
      <c r="Q15" s="53">
        <v>0.1</v>
      </c>
      <c r="R15" s="85">
        <f>ROUNDUP(Q15*0.75,2)</f>
        <v>0.08</v>
      </c>
    </row>
    <row r="16" spans="1:19" ht="24.95" customHeight="1">
      <c r="A16" s="333"/>
      <c r="B16" s="62"/>
      <c r="C16" s="48"/>
      <c r="D16" s="49"/>
      <c r="E16" s="50"/>
      <c r="F16" s="51"/>
      <c r="G16" s="66"/>
      <c r="H16" s="70"/>
      <c r="I16" s="49"/>
      <c r="J16" s="51"/>
      <c r="K16" s="51"/>
      <c r="L16" s="51"/>
      <c r="M16" s="74"/>
      <c r="N16" s="62" t="s">
        <v>18</v>
      </c>
      <c r="O16" s="52" t="s">
        <v>30</v>
      </c>
      <c r="P16" s="49" t="s">
        <v>31</v>
      </c>
      <c r="Q16" s="53">
        <v>4</v>
      </c>
      <c r="R16" s="85">
        <f>ROUNDUP(Q16*0.75,2)</f>
        <v>3</v>
      </c>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69</v>
      </c>
      <c r="C18" s="48" t="s">
        <v>227</v>
      </c>
      <c r="D18" s="49"/>
      <c r="E18" s="50">
        <v>20</v>
      </c>
      <c r="F18" s="51" t="s">
        <v>34</v>
      </c>
      <c r="G18" s="66"/>
      <c r="H18" s="70" t="s">
        <v>227</v>
      </c>
      <c r="I18" s="49"/>
      <c r="J18" s="51">
        <f>ROUNDUP(E18*0.75,2)</f>
        <v>15</v>
      </c>
      <c r="K18" s="51" t="s">
        <v>34</v>
      </c>
      <c r="L18" s="51"/>
      <c r="M18" s="74" t="e">
        <f>ROUND(#REF!+(#REF!*15/100),2)</f>
        <v>#REF!</v>
      </c>
      <c r="N18" s="62" t="s">
        <v>18</v>
      </c>
      <c r="O18" s="52" t="s">
        <v>36</v>
      </c>
      <c r="P18" s="49"/>
      <c r="Q18" s="53">
        <v>100</v>
      </c>
      <c r="R18" s="85">
        <f>ROUNDUP(Q18*0.75,2)</f>
        <v>75</v>
      </c>
    </row>
    <row r="19" spans="1:18" ht="24.95" customHeight="1">
      <c r="A19" s="333"/>
      <c r="B19" s="62"/>
      <c r="C19" s="48" t="s">
        <v>150</v>
      </c>
      <c r="D19" s="49"/>
      <c r="E19" s="78">
        <v>0.1</v>
      </c>
      <c r="F19" s="51" t="s">
        <v>151</v>
      </c>
      <c r="G19" s="66" t="s">
        <v>53</v>
      </c>
      <c r="H19" s="70" t="s">
        <v>150</v>
      </c>
      <c r="I19" s="49"/>
      <c r="J19" s="51">
        <f>ROUNDUP(E19*0.75,2)</f>
        <v>0.08</v>
      </c>
      <c r="K19" s="51" t="s">
        <v>151</v>
      </c>
      <c r="L19" s="51" t="s">
        <v>53</v>
      </c>
      <c r="M19" s="74" t="e">
        <f>#REF!</f>
        <v>#REF!</v>
      </c>
      <c r="N19" s="62"/>
      <c r="O19" s="52" t="s">
        <v>29</v>
      </c>
      <c r="P19" s="49"/>
      <c r="Q19" s="53">
        <v>3</v>
      </c>
      <c r="R19" s="85">
        <f>ROUNDUP(Q19*0.75,2)</f>
        <v>2.25</v>
      </c>
    </row>
    <row r="20" spans="1:18" ht="24.95" customHeight="1" thickBot="1">
      <c r="A20" s="334"/>
      <c r="B20" s="63"/>
      <c r="C20" s="54"/>
      <c r="D20" s="55"/>
      <c r="E20" s="56"/>
      <c r="F20" s="57"/>
      <c r="G20" s="67"/>
      <c r="H20" s="71"/>
      <c r="I20" s="55"/>
      <c r="J20" s="57"/>
      <c r="K20" s="57"/>
      <c r="L20" s="57"/>
      <c r="M20" s="75"/>
      <c r="N20" s="63"/>
      <c r="O20" s="58"/>
      <c r="P20" s="55"/>
      <c r="Q20" s="59"/>
      <c r="R20" s="86"/>
    </row>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60" zoomScaleNormal="60" zoomScaleSheetLayoutView="100" workbookViewId="0">
      <selection activeCell="E37" sqref="E37"/>
    </sheetView>
  </sheetViews>
  <sheetFormatPr defaultRowHeight="13.5"/>
  <cols>
    <col min="1" max="1" width="4.5" style="102" bestFit="1" customWidth="1"/>
    <col min="2" max="2" width="3.375" style="101" bestFit="1" customWidth="1"/>
    <col min="3" max="8" width="17.625" style="101" customWidth="1"/>
    <col min="9" max="9" width="3.25" style="101" customWidth="1"/>
    <col min="10" max="10" width="4.5" style="102" bestFit="1" customWidth="1"/>
    <col min="11" max="11" width="3.375" style="101" bestFit="1" customWidth="1"/>
    <col min="12" max="17" width="17.625" style="101" customWidth="1"/>
    <col min="18" max="16384" width="9" style="101"/>
  </cols>
  <sheetData>
    <row r="1" spans="1:17" ht="65.25" customHeight="1">
      <c r="A1" s="130"/>
      <c r="J1" s="130"/>
    </row>
    <row r="2" spans="1:17" s="102" customFormat="1" ht="21.75" customHeight="1">
      <c r="A2" s="266" t="s">
        <v>400</v>
      </c>
      <c r="B2" s="270" t="s">
        <v>399</v>
      </c>
      <c r="C2" s="283" t="s">
        <v>398</v>
      </c>
      <c r="D2" s="284"/>
      <c r="E2" s="271" t="s">
        <v>397</v>
      </c>
      <c r="F2" s="272"/>
      <c r="G2" s="271" t="s">
        <v>396</v>
      </c>
      <c r="H2" s="272"/>
      <c r="I2" s="129"/>
      <c r="J2" s="266" t="s">
        <v>400</v>
      </c>
      <c r="K2" s="270" t="s">
        <v>399</v>
      </c>
      <c r="L2" s="271" t="s">
        <v>398</v>
      </c>
      <c r="M2" s="272"/>
      <c r="N2" s="271" t="s">
        <v>397</v>
      </c>
      <c r="O2" s="272"/>
      <c r="P2" s="277" t="s">
        <v>396</v>
      </c>
      <c r="Q2" s="278"/>
    </row>
    <row r="3" spans="1:17" s="102" customFormat="1" ht="13.5" customHeight="1">
      <c r="A3" s="266"/>
      <c r="B3" s="270"/>
      <c r="C3" s="285"/>
      <c r="D3" s="286"/>
      <c r="E3" s="289"/>
      <c r="F3" s="290"/>
      <c r="G3" s="289"/>
      <c r="H3" s="290"/>
      <c r="I3" s="128"/>
      <c r="J3" s="266"/>
      <c r="K3" s="270"/>
      <c r="L3" s="273"/>
      <c r="M3" s="274"/>
      <c r="N3" s="273"/>
      <c r="O3" s="274"/>
      <c r="P3" s="279"/>
      <c r="Q3" s="280"/>
    </row>
    <row r="4" spans="1:17" s="102" customFormat="1" ht="18.75" customHeight="1">
      <c r="A4" s="266"/>
      <c r="B4" s="270"/>
      <c r="C4" s="287"/>
      <c r="D4" s="288"/>
      <c r="E4" s="291"/>
      <c r="F4" s="292"/>
      <c r="G4" s="291"/>
      <c r="H4" s="292"/>
      <c r="I4" s="128"/>
      <c r="J4" s="266"/>
      <c r="K4" s="270"/>
      <c r="L4" s="275"/>
      <c r="M4" s="276"/>
      <c r="N4" s="275"/>
      <c r="O4" s="276"/>
      <c r="P4" s="281"/>
      <c r="Q4" s="282"/>
    </row>
    <row r="5" spans="1:17" s="102" customFormat="1" ht="15.75" customHeight="1">
      <c r="A5" s="266"/>
      <c r="B5" s="270"/>
      <c r="C5" s="124" t="s">
        <v>395</v>
      </c>
      <c r="D5" s="124" t="s">
        <v>394</v>
      </c>
      <c r="E5" s="124" t="s">
        <v>395</v>
      </c>
      <c r="F5" s="124" t="s">
        <v>394</v>
      </c>
      <c r="G5" s="124" t="s">
        <v>395</v>
      </c>
      <c r="H5" s="127" t="s">
        <v>394</v>
      </c>
      <c r="I5" s="126"/>
      <c r="J5" s="266"/>
      <c r="K5" s="270"/>
      <c r="L5" s="124" t="s">
        <v>395</v>
      </c>
      <c r="M5" s="124" t="s">
        <v>394</v>
      </c>
      <c r="N5" s="124" t="s">
        <v>395</v>
      </c>
      <c r="O5" s="124" t="s">
        <v>394</v>
      </c>
      <c r="P5" s="125" t="s">
        <v>395</v>
      </c>
      <c r="Q5" s="124" t="s">
        <v>394</v>
      </c>
    </row>
    <row r="6" spans="1:17" s="109" customFormat="1" ht="13.5" customHeight="1">
      <c r="A6" s="300">
        <v>6</v>
      </c>
      <c r="B6" s="312" t="s">
        <v>344</v>
      </c>
      <c r="C6" s="107" t="s">
        <v>302</v>
      </c>
      <c r="D6" s="314" t="s">
        <v>393</v>
      </c>
      <c r="E6" s="107" t="s">
        <v>302</v>
      </c>
      <c r="F6" s="314" t="s">
        <v>393</v>
      </c>
      <c r="G6" s="107" t="s">
        <v>300</v>
      </c>
      <c r="H6" s="305" t="s">
        <v>392</v>
      </c>
      <c r="I6" s="113"/>
      <c r="J6" s="317">
        <v>20</v>
      </c>
      <c r="K6" s="293" t="s">
        <v>344</v>
      </c>
      <c r="L6" s="107" t="s">
        <v>302</v>
      </c>
      <c r="M6" s="267" t="s">
        <v>391</v>
      </c>
      <c r="N6" s="107" t="s">
        <v>302</v>
      </c>
      <c r="O6" s="267" t="s">
        <v>391</v>
      </c>
      <c r="P6" s="107" t="s">
        <v>300</v>
      </c>
      <c r="Q6" s="296" t="s">
        <v>390</v>
      </c>
    </row>
    <row r="7" spans="1:17" s="103" customFormat="1">
      <c r="A7" s="300"/>
      <c r="B7" s="294"/>
      <c r="C7" s="107" t="s">
        <v>389</v>
      </c>
      <c r="D7" s="315"/>
      <c r="E7" s="107" t="s">
        <v>389</v>
      </c>
      <c r="F7" s="315"/>
      <c r="G7" s="107" t="s">
        <v>388</v>
      </c>
      <c r="H7" s="306"/>
      <c r="I7" s="112"/>
      <c r="J7" s="309"/>
      <c r="K7" s="294"/>
      <c r="L7" s="107" t="s">
        <v>389</v>
      </c>
      <c r="M7" s="268"/>
      <c r="N7" s="107" t="s">
        <v>389</v>
      </c>
      <c r="O7" s="268"/>
      <c r="P7" s="107" t="s">
        <v>388</v>
      </c>
      <c r="Q7" s="297"/>
    </row>
    <row r="8" spans="1:17" s="103" customFormat="1">
      <c r="A8" s="300"/>
      <c r="B8" s="294"/>
      <c r="C8" s="107" t="s">
        <v>387</v>
      </c>
      <c r="D8" s="315"/>
      <c r="E8" s="107" t="s">
        <v>387</v>
      </c>
      <c r="F8" s="315"/>
      <c r="G8" s="107" t="s">
        <v>386</v>
      </c>
      <c r="H8" s="306"/>
      <c r="I8" s="112"/>
      <c r="J8" s="309"/>
      <c r="K8" s="294"/>
      <c r="L8" s="107" t="s">
        <v>387</v>
      </c>
      <c r="M8" s="268"/>
      <c r="N8" s="107" t="s">
        <v>387</v>
      </c>
      <c r="O8" s="268"/>
      <c r="P8" s="107" t="s">
        <v>386</v>
      </c>
      <c r="Q8" s="297"/>
    </row>
    <row r="9" spans="1:17" s="103" customFormat="1">
      <c r="A9" s="300"/>
      <c r="B9" s="313"/>
      <c r="C9" s="107" t="s">
        <v>69</v>
      </c>
      <c r="D9" s="316"/>
      <c r="E9" s="107" t="s">
        <v>69</v>
      </c>
      <c r="F9" s="316"/>
      <c r="G9" s="107"/>
      <c r="H9" s="307"/>
      <c r="I9" s="112"/>
      <c r="J9" s="311"/>
      <c r="K9" s="295"/>
      <c r="L9" s="107" t="s">
        <v>385</v>
      </c>
      <c r="M9" s="269"/>
      <c r="N9" s="107" t="s">
        <v>385</v>
      </c>
      <c r="O9" s="269"/>
      <c r="P9" s="107" t="s">
        <v>175</v>
      </c>
      <c r="Q9" s="298"/>
    </row>
    <row r="10" spans="1:17" s="103" customFormat="1" ht="13.5" customHeight="1">
      <c r="A10" s="299">
        <v>7</v>
      </c>
      <c r="B10" s="293" t="s">
        <v>328</v>
      </c>
      <c r="C10" s="108" t="s">
        <v>302</v>
      </c>
      <c r="D10" s="302" t="s">
        <v>384</v>
      </c>
      <c r="E10" s="108" t="s">
        <v>302</v>
      </c>
      <c r="F10" s="302" t="s">
        <v>384</v>
      </c>
      <c r="G10" s="108" t="s">
        <v>300</v>
      </c>
      <c r="H10" s="305" t="s">
        <v>383</v>
      </c>
      <c r="I10" s="113"/>
      <c r="J10" s="308">
        <v>21</v>
      </c>
      <c r="K10" s="312" t="s">
        <v>328</v>
      </c>
      <c r="L10" s="108" t="s">
        <v>302</v>
      </c>
      <c r="M10" s="267" t="s">
        <v>384</v>
      </c>
      <c r="N10" s="108" t="s">
        <v>302</v>
      </c>
      <c r="O10" s="267" t="s">
        <v>384</v>
      </c>
      <c r="P10" s="108" t="s">
        <v>300</v>
      </c>
      <c r="Q10" s="296" t="s">
        <v>383</v>
      </c>
    </row>
    <row r="11" spans="1:17" s="103" customFormat="1">
      <c r="A11" s="300"/>
      <c r="B11" s="294"/>
      <c r="C11" s="107" t="s">
        <v>382</v>
      </c>
      <c r="D11" s="303"/>
      <c r="E11" s="107" t="s">
        <v>382</v>
      </c>
      <c r="F11" s="303"/>
      <c r="G11" s="107" t="s">
        <v>381</v>
      </c>
      <c r="H11" s="306"/>
      <c r="I11" s="112"/>
      <c r="J11" s="309"/>
      <c r="K11" s="294"/>
      <c r="L11" s="107" t="s">
        <v>382</v>
      </c>
      <c r="M11" s="268"/>
      <c r="N11" s="107" t="s">
        <v>382</v>
      </c>
      <c r="O11" s="268"/>
      <c r="P11" s="107" t="s">
        <v>381</v>
      </c>
      <c r="Q11" s="297"/>
    </row>
    <row r="12" spans="1:17" s="103" customFormat="1">
      <c r="A12" s="300"/>
      <c r="B12" s="294"/>
      <c r="C12" s="107" t="s">
        <v>141</v>
      </c>
      <c r="D12" s="303"/>
      <c r="E12" s="107" t="s">
        <v>141</v>
      </c>
      <c r="F12" s="303"/>
      <c r="G12" s="107" t="s">
        <v>380</v>
      </c>
      <c r="H12" s="306"/>
      <c r="I12" s="112"/>
      <c r="J12" s="309"/>
      <c r="K12" s="294"/>
      <c r="L12" s="107" t="s">
        <v>141</v>
      </c>
      <c r="M12" s="268"/>
      <c r="N12" s="107" t="s">
        <v>141</v>
      </c>
      <c r="O12" s="268"/>
      <c r="P12" s="107" t="s">
        <v>380</v>
      </c>
      <c r="Q12" s="297"/>
    </row>
    <row r="13" spans="1:17" s="103" customFormat="1">
      <c r="A13" s="301"/>
      <c r="B13" s="295"/>
      <c r="C13" s="106" t="s">
        <v>145</v>
      </c>
      <c r="D13" s="304"/>
      <c r="E13" s="106" t="s">
        <v>145</v>
      </c>
      <c r="F13" s="304"/>
      <c r="G13" s="106" t="s">
        <v>332</v>
      </c>
      <c r="H13" s="307"/>
      <c r="I13" s="112"/>
      <c r="J13" s="310"/>
      <c r="K13" s="313"/>
      <c r="L13" s="106" t="s">
        <v>145</v>
      </c>
      <c r="M13" s="269"/>
      <c r="N13" s="106" t="s">
        <v>145</v>
      </c>
      <c r="O13" s="269"/>
      <c r="P13" s="106" t="s">
        <v>332</v>
      </c>
      <c r="Q13" s="298"/>
    </row>
    <row r="14" spans="1:17" s="103" customFormat="1" ht="13.5" customHeight="1">
      <c r="A14" s="300">
        <v>8</v>
      </c>
      <c r="B14" s="312" t="s">
        <v>79</v>
      </c>
      <c r="C14" s="107" t="s">
        <v>379</v>
      </c>
      <c r="D14" s="302" t="s">
        <v>378</v>
      </c>
      <c r="E14" s="107" t="s">
        <v>377</v>
      </c>
      <c r="F14" s="302" t="s">
        <v>376</v>
      </c>
      <c r="G14" s="107" t="s">
        <v>373</v>
      </c>
      <c r="H14" s="305" t="s">
        <v>372</v>
      </c>
      <c r="I14" s="113"/>
      <c r="J14" s="317">
        <v>22</v>
      </c>
      <c r="K14" s="293" t="s">
        <v>79</v>
      </c>
      <c r="L14" s="107" t="s">
        <v>375</v>
      </c>
      <c r="M14" s="267" t="s">
        <v>374</v>
      </c>
      <c r="N14" s="107" t="s">
        <v>375</v>
      </c>
      <c r="O14" s="267" t="s">
        <v>374</v>
      </c>
      <c r="P14" s="107" t="s">
        <v>373</v>
      </c>
      <c r="Q14" s="296" t="s">
        <v>372</v>
      </c>
    </row>
    <row r="15" spans="1:17" s="103" customFormat="1">
      <c r="A15" s="300"/>
      <c r="B15" s="294"/>
      <c r="C15" s="107" t="s">
        <v>371</v>
      </c>
      <c r="D15" s="303"/>
      <c r="E15" s="107" t="s">
        <v>371</v>
      </c>
      <c r="F15" s="303"/>
      <c r="G15" s="107" t="s">
        <v>370</v>
      </c>
      <c r="H15" s="306"/>
      <c r="I15" s="112"/>
      <c r="J15" s="309"/>
      <c r="K15" s="294"/>
      <c r="L15" s="107" t="s">
        <v>371</v>
      </c>
      <c r="M15" s="268"/>
      <c r="N15" s="107" t="s">
        <v>371</v>
      </c>
      <c r="O15" s="268"/>
      <c r="P15" s="107" t="s">
        <v>370</v>
      </c>
      <c r="Q15" s="297"/>
    </row>
    <row r="16" spans="1:17" s="103" customFormat="1">
      <c r="A16" s="300"/>
      <c r="B16" s="294"/>
      <c r="C16" s="107" t="s">
        <v>369</v>
      </c>
      <c r="D16" s="303"/>
      <c r="E16" s="107" t="s">
        <v>369</v>
      </c>
      <c r="F16" s="303"/>
      <c r="G16" s="107" t="s">
        <v>368</v>
      </c>
      <c r="H16" s="306"/>
      <c r="I16" s="112"/>
      <c r="J16" s="309"/>
      <c r="K16" s="294"/>
      <c r="L16" s="107" t="s">
        <v>369</v>
      </c>
      <c r="M16" s="268"/>
      <c r="N16" s="107" t="s">
        <v>369</v>
      </c>
      <c r="O16" s="268"/>
      <c r="P16" s="107" t="s">
        <v>368</v>
      </c>
      <c r="Q16" s="297"/>
    </row>
    <row r="17" spans="1:17" s="103" customFormat="1">
      <c r="A17" s="300"/>
      <c r="B17" s="313"/>
      <c r="C17" s="107" t="s">
        <v>175</v>
      </c>
      <c r="D17" s="304"/>
      <c r="E17" s="107" t="s">
        <v>175</v>
      </c>
      <c r="F17" s="304"/>
      <c r="G17" s="107" t="s">
        <v>175</v>
      </c>
      <c r="H17" s="307"/>
      <c r="I17" s="112"/>
      <c r="J17" s="311"/>
      <c r="K17" s="295"/>
      <c r="L17" s="107" t="s">
        <v>175</v>
      </c>
      <c r="M17" s="269"/>
      <c r="N17" s="107" t="s">
        <v>175</v>
      </c>
      <c r="O17" s="269"/>
      <c r="P17" s="107" t="s">
        <v>175</v>
      </c>
      <c r="Q17" s="298"/>
    </row>
    <row r="18" spans="1:17" s="103" customFormat="1" ht="13.5" customHeight="1">
      <c r="A18" s="299">
        <v>9</v>
      </c>
      <c r="B18" s="293" t="s">
        <v>310</v>
      </c>
      <c r="C18" s="108" t="s">
        <v>302</v>
      </c>
      <c r="D18" s="314" t="s">
        <v>367</v>
      </c>
      <c r="E18" s="108" t="s">
        <v>302</v>
      </c>
      <c r="F18" s="314" t="s">
        <v>366</v>
      </c>
      <c r="G18" s="108" t="s">
        <v>300</v>
      </c>
      <c r="H18" s="305" t="s">
        <v>365</v>
      </c>
      <c r="I18" s="113"/>
      <c r="J18" s="308">
        <v>23</v>
      </c>
      <c r="K18" s="312" t="s">
        <v>310</v>
      </c>
      <c r="L18" s="108" t="s">
        <v>302</v>
      </c>
      <c r="M18" s="296" t="s">
        <v>367</v>
      </c>
      <c r="N18" s="108" t="s">
        <v>302</v>
      </c>
      <c r="O18" s="296" t="s">
        <v>366</v>
      </c>
      <c r="P18" s="108" t="s">
        <v>300</v>
      </c>
      <c r="Q18" s="296" t="s">
        <v>365</v>
      </c>
    </row>
    <row r="19" spans="1:17" s="103" customFormat="1">
      <c r="A19" s="300"/>
      <c r="B19" s="294"/>
      <c r="C19" s="107" t="s">
        <v>364</v>
      </c>
      <c r="D19" s="315"/>
      <c r="E19" s="107" t="s">
        <v>363</v>
      </c>
      <c r="F19" s="315"/>
      <c r="G19" s="107" t="s">
        <v>362</v>
      </c>
      <c r="H19" s="306"/>
      <c r="I19" s="112"/>
      <c r="J19" s="309"/>
      <c r="K19" s="294"/>
      <c r="L19" s="107" t="s">
        <v>364</v>
      </c>
      <c r="M19" s="297"/>
      <c r="N19" s="107" t="s">
        <v>363</v>
      </c>
      <c r="O19" s="297"/>
      <c r="P19" s="107" t="s">
        <v>362</v>
      </c>
      <c r="Q19" s="297"/>
    </row>
    <row r="20" spans="1:17" s="103" customFormat="1">
      <c r="A20" s="300"/>
      <c r="B20" s="294"/>
      <c r="C20" s="107" t="s">
        <v>361</v>
      </c>
      <c r="D20" s="315"/>
      <c r="E20" s="107" t="s">
        <v>361</v>
      </c>
      <c r="F20" s="315"/>
      <c r="G20" s="107" t="s">
        <v>360</v>
      </c>
      <c r="H20" s="306"/>
      <c r="I20" s="112"/>
      <c r="J20" s="309"/>
      <c r="K20" s="294"/>
      <c r="L20" s="107" t="s">
        <v>361</v>
      </c>
      <c r="M20" s="297"/>
      <c r="N20" s="107" t="s">
        <v>361</v>
      </c>
      <c r="O20" s="297"/>
      <c r="P20" s="107" t="s">
        <v>360</v>
      </c>
      <c r="Q20" s="297"/>
    </row>
    <row r="21" spans="1:17" s="103" customFormat="1">
      <c r="A21" s="301"/>
      <c r="B21" s="295"/>
      <c r="C21" s="106" t="s">
        <v>47</v>
      </c>
      <c r="D21" s="316"/>
      <c r="E21" s="106" t="s">
        <v>47</v>
      </c>
      <c r="F21" s="316"/>
      <c r="G21" s="106"/>
      <c r="H21" s="307"/>
      <c r="I21" s="112"/>
      <c r="J21" s="310"/>
      <c r="K21" s="313"/>
      <c r="L21" s="106" t="s">
        <v>47</v>
      </c>
      <c r="M21" s="298"/>
      <c r="N21" s="106" t="s">
        <v>47</v>
      </c>
      <c r="O21" s="298"/>
      <c r="P21" s="106"/>
      <c r="Q21" s="298"/>
    </row>
    <row r="22" spans="1:17" s="103" customFormat="1" ht="13.5" customHeight="1">
      <c r="A22" s="300">
        <v>10</v>
      </c>
      <c r="B22" s="312" t="s">
        <v>304</v>
      </c>
      <c r="C22" s="107" t="s">
        <v>302</v>
      </c>
      <c r="D22" s="302" t="s">
        <v>359</v>
      </c>
      <c r="E22" s="107" t="s">
        <v>302</v>
      </c>
      <c r="F22" s="302" t="s">
        <v>359</v>
      </c>
      <c r="G22" s="107" t="s">
        <v>300</v>
      </c>
      <c r="H22" s="305" t="s">
        <v>358</v>
      </c>
      <c r="I22" s="113"/>
      <c r="J22" s="317">
        <v>24</v>
      </c>
      <c r="K22" s="293" t="s">
        <v>304</v>
      </c>
      <c r="L22" s="107" t="s">
        <v>302</v>
      </c>
      <c r="M22" s="296" t="s">
        <v>357</v>
      </c>
      <c r="N22" s="107" t="s">
        <v>302</v>
      </c>
      <c r="O22" s="296" t="s">
        <v>356</v>
      </c>
      <c r="P22" s="107" t="s">
        <v>300</v>
      </c>
      <c r="Q22" s="296" t="s">
        <v>355</v>
      </c>
    </row>
    <row r="23" spans="1:17" s="103" customFormat="1">
      <c r="A23" s="300"/>
      <c r="B23" s="294"/>
      <c r="C23" s="107" t="s">
        <v>354</v>
      </c>
      <c r="D23" s="303"/>
      <c r="E23" s="107" t="s">
        <v>354</v>
      </c>
      <c r="F23" s="303"/>
      <c r="G23" s="107" t="s">
        <v>351</v>
      </c>
      <c r="H23" s="306"/>
      <c r="I23" s="112"/>
      <c r="J23" s="309"/>
      <c r="K23" s="294"/>
      <c r="L23" s="107" t="s">
        <v>353</v>
      </c>
      <c r="M23" s="297"/>
      <c r="N23" s="107" t="s">
        <v>352</v>
      </c>
      <c r="O23" s="297"/>
      <c r="P23" s="107" t="s">
        <v>351</v>
      </c>
      <c r="Q23" s="297"/>
    </row>
    <row r="24" spans="1:17" s="103" customFormat="1">
      <c r="A24" s="300"/>
      <c r="B24" s="294"/>
      <c r="C24" s="107" t="s">
        <v>350</v>
      </c>
      <c r="D24" s="303"/>
      <c r="E24" s="107" t="s">
        <v>350</v>
      </c>
      <c r="F24" s="303"/>
      <c r="G24" s="107" t="s">
        <v>349</v>
      </c>
      <c r="H24" s="306"/>
      <c r="I24" s="112"/>
      <c r="J24" s="309"/>
      <c r="K24" s="294"/>
      <c r="L24" s="107" t="s">
        <v>69</v>
      </c>
      <c r="M24" s="297"/>
      <c r="N24" s="107" t="s">
        <v>69</v>
      </c>
      <c r="O24" s="297"/>
      <c r="P24" s="107" t="s">
        <v>348</v>
      </c>
      <c r="Q24" s="297"/>
    </row>
    <row r="25" spans="1:17" s="103" customFormat="1">
      <c r="A25" s="300"/>
      <c r="B25" s="313"/>
      <c r="C25" s="107" t="s">
        <v>69</v>
      </c>
      <c r="D25" s="304"/>
      <c r="E25" s="107" t="s">
        <v>69</v>
      </c>
      <c r="F25" s="304"/>
      <c r="G25" s="107" t="s">
        <v>348</v>
      </c>
      <c r="H25" s="307"/>
      <c r="I25" s="113"/>
      <c r="J25" s="310"/>
      <c r="K25" s="313"/>
      <c r="L25" s="107"/>
      <c r="M25" s="297"/>
      <c r="N25" s="107"/>
      <c r="O25" s="297"/>
      <c r="P25" s="107"/>
      <c r="Q25" s="297"/>
    </row>
    <row r="26" spans="1:17" s="103" customFormat="1" ht="13.5" customHeight="1">
      <c r="A26" s="123"/>
      <c r="B26" s="122"/>
      <c r="C26" s="120"/>
      <c r="D26" s="121"/>
      <c r="E26" s="120"/>
      <c r="F26" s="121"/>
      <c r="G26" s="120"/>
      <c r="H26" s="121"/>
      <c r="I26" s="112"/>
      <c r="J26" s="123"/>
      <c r="K26" s="122"/>
      <c r="L26" s="120"/>
      <c r="M26" s="121"/>
      <c r="N26" s="120"/>
      <c r="O26" s="121"/>
      <c r="P26" s="120"/>
      <c r="Q26" s="119"/>
    </row>
    <row r="27" spans="1:17" s="103" customFormat="1">
      <c r="A27" s="118"/>
      <c r="B27" s="117"/>
      <c r="C27" s="115"/>
      <c r="D27" s="116"/>
      <c r="E27" s="115"/>
      <c r="F27" s="116"/>
      <c r="G27" s="115"/>
      <c r="H27" s="116"/>
      <c r="I27" s="112"/>
      <c r="J27" s="118"/>
      <c r="K27" s="117"/>
      <c r="L27" s="115"/>
      <c r="M27" s="116"/>
      <c r="N27" s="115"/>
      <c r="O27" s="116"/>
      <c r="P27" s="115"/>
      <c r="Q27" s="114"/>
    </row>
    <row r="28" spans="1:17" s="103" customFormat="1">
      <c r="A28" s="322">
        <v>14</v>
      </c>
      <c r="B28" s="293" t="s">
        <v>328</v>
      </c>
      <c r="C28" s="108" t="s">
        <v>302</v>
      </c>
      <c r="D28" s="302" t="s">
        <v>347</v>
      </c>
      <c r="E28" s="108" t="s">
        <v>302</v>
      </c>
      <c r="F28" s="302" t="s">
        <v>346</v>
      </c>
      <c r="G28" s="108" t="s">
        <v>300</v>
      </c>
      <c r="H28" s="237" t="s">
        <v>345</v>
      </c>
      <c r="I28" s="112"/>
      <c r="J28" s="308">
        <v>27</v>
      </c>
      <c r="K28" s="312" t="s">
        <v>344</v>
      </c>
      <c r="L28" s="107" t="s">
        <v>342</v>
      </c>
      <c r="M28" s="319" t="s">
        <v>343</v>
      </c>
      <c r="N28" s="107" t="s">
        <v>342</v>
      </c>
      <c r="O28" s="318" t="s">
        <v>341</v>
      </c>
      <c r="P28" s="107" t="s">
        <v>340</v>
      </c>
      <c r="Q28" s="318" t="s">
        <v>339</v>
      </c>
    </row>
    <row r="29" spans="1:17" s="103" customFormat="1">
      <c r="A29" s="300"/>
      <c r="B29" s="294"/>
      <c r="C29" s="107" t="s">
        <v>323</v>
      </c>
      <c r="D29" s="303"/>
      <c r="E29" s="107" t="s">
        <v>323</v>
      </c>
      <c r="F29" s="303"/>
      <c r="G29" s="107" t="s">
        <v>338</v>
      </c>
      <c r="H29" s="320"/>
      <c r="I29" s="112"/>
      <c r="J29" s="309"/>
      <c r="K29" s="294"/>
      <c r="L29" s="107" t="s">
        <v>337</v>
      </c>
      <c r="M29" s="268"/>
      <c r="N29" s="107" t="s">
        <v>336</v>
      </c>
      <c r="O29" s="297"/>
      <c r="P29" s="107" t="s">
        <v>335</v>
      </c>
      <c r="Q29" s="297"/>
    </row>
    <row r="30" spans="1:17" s="103" customFormat="1" ht="13.5" customHeight="1">
      <c r="A30" s="300"/>
      <c r="B30" s="294"/>
      <c r="C30" s="107" t="s">
        <v>321</v>
      </c>
      <c r="D30" s="303"/>
      <c r="E30" s="107" t="s">
        <v>320</v>
      </c>
      <c r="F30" s="303"/>
      <c r="G30" s="107" t="s">
        <v>334</v>
      </c>
      <c r="H30" s="320"/>
      <c r="I30" s="112"/>
      <c r="J30" s="309"/>
      <c r="K30" s="294"/>
      <c r="L30" s="107" t="s">
        <v>145</v>
      </c>
      <c r="M30" s="268"/>
      <c r="N30" s="107" t="s">
        <v>145</v>
      </c>
      <c r="O30" s="297"/>
      <c r="P30" s="107" t="s">
        <v>333</v>
      </c>
      <c r="Q30" s="297"/>
    </row>
    <row r="31" spans="1:17" s="103" customFormat="1">
      <c r="A31" s="300"/>
      <c r="B31" s="313"/>
      <c r="C31" s="107" t="s">
        <v>69</v>
      </c>
      <c r="D31" s="304"/>
      <c r="E31" s="107" t="s">
        <v>69</v>
      </c>
      <c r="F31" s="304"/>
      <c r="G31" s="107"/>
      <c r="H31" s="321"/>
      <c r="I31" s="112"/>
      <c r="J31" s="310"/>
      <c r="K31" s="313"/>
      <c r="L31" s="106"/>
      <c r="M31" s="269"/>
      <c r="N31" s="106"/>
      <c r="O31" s="298"/>
      <c r="P31" s="106" t="s">
        <v>332</v>
      </c>
      <c r="Q31" s="298"/>
    </row>
    <row r="32" spans="1:17" s="103" customFormat="1">
      <c r="A32" s="299">
        <v>15</v>
      </c>
      <c r="B32" s="293" t="s">
        <v>79</v>
      </c>
      <c r="C32" s="108" t="s">
        <v>302</v>
      </c>
      <c r="D32" s="302" t="s">
        <v>331</v>
      </c>
      <c r="E32" s="108" t="s">
        <v>302</v>
      </c>
      <c r="F32" s="302" t="s">
        <v>330</v>
      </c>
      <c r="G32" s="108" t="s">
        <v>300</v>
      </c>
      <c r="H32" s="237" t="s">
        <v>329</v>
      </c>
      <c r="I32" s="113"/>
      <c r="J32" s="317">
        <v>28</v>
      </c>
      <c r="K32" s="293" t="s">
        <v>328</v>
      </c>
      <c r="L32" s="107" t="s">
        <v>302</v>
      </c>
      <c r="M32" s="267" t="s">
        <v>327</v>
      </c>
      <c r="N32" s="107" t="s">
        <v>302</v>
      </c>
      <c r="O32" s="267" t="s">
        <v>326</v>
      </c>
      <c r="P32" s="107" t="s">
        <v>300</v>
      </c>
      <c r="Q32" s="296" t="s">
        <v>325</v>
      </c>
    </row>
    <row r="33" spans="1:17" s="103" customFormat="1">
      <c r="A33" s="300"/>
      <c r="B33" s="294"/>
      <c r="C33" s="107" t="s">
        <v>314</v>
      </c>
      <c r="D33" s="303"/>
      <c r="E33" s="107" t="s">
        <v>313</v>
      </c>
      <c r="F33" s="303"/>
      <c r="G33" s="107" t="s">
        <v>324</v>
      </c>
      <c r="H33" s="320"/>
      <c r="I33" s="112"/>
      <c r="J33" s="309"/>
      <c r="K33" s="294"/>
      <c r="L33" s="107" t="s">
        <v>323</v>
      </c>
      <c r="M33" s="268"/>
      <c r="N33" s="107" t="s">
        <v>323</v>
      </c>
      <c r="O33" s="268"/>
      <c r="P33" s="107" t="s">
        <v>322</v>
      </c>
      <c r="Q33" s="297"/>
    </row>
    <row r="34" spans="1:17" s="103" customFormat="1" ht="13.5" customHeight="1">
      <c r="A34" s="300"/>
      <c r="B34" s="294"/>
      <c r="C34" s="107" t="s">
        <v>225</v>
      </c>
      <c r="D34" s="303"/>
      <c r="E34" s="107" t="s">
        <v>225</v>
      </c>
      <c r="F34" s="303"/>
      <c r="G34" s="107" t="s">
        <v>311</v>
      </c>
      <c r="H34" s="320"/>
      <c r="I34" s="112"/>
      <c r="J34" s="309"/>
      <c r="K34" s="294"/>
      <c r="L34" s="107" t="s">
        <v>321</v>
      </c>
      <c r="M34" s="268"/>
      <c r="N34" s="107" t="s">
        <v>320</v>
      </c>
      <c r="O34" s="268"/>
      <c r="P34" s="107" t="s">
        <v>319</v>
      </c>
      <c r="Q34" s="297"/>
    </row>
    <row r="35" spans="1:17" s="103" customFormat="1">
      <c r="A35" s="301"/>
      <c r="B35" s="295"/>
      <c r="C35" s="106" t="s">
        <v>69</v>
      </c>
      <c r="D35" s="304"/>
      <c r="E35" s="106" t="s">
        <v>69</v>
      </c>
      <c r="F35" s="304"/>
      <c r="G35" s="106"/>
      <c r="H35" s="321"/>
      <c r="I35" s="112"/>
      <c r="J35" s="311"/>
      <c r="K35" s="295"/>
      <c r="L35" s="107" t="s">
        <v>318</v>
      </c>
      <c r="M35" s="269"/>
      <c r="N35" s="107" t="s">
        <v>318</v>
      </c>
      <c r="O35" s="269"/>
      <c r="P35" s="107" t="s">
        <v>153</v>
      </c>
      <c r="Q35" s="298"/>
    </row>
    <row r="36" spans="1:17" s="103" customFormat="1">
      <c r="A36" s="300">
        <v>16</v>
      </c>
      <c r="B36" s="312" t="s">
        <v>310</v>
      </c>
      <c r="C36" s="107" t="s">
        <v>302</v>
      </c>
      <c r="D36" s="302" t="s">
        <v>309</v>
      </c>
      <c r="E36" s="107" t="s">
        <v>302</v>
      </c>
      <c r="F36" s="302" t="s">
        <v>309</v>
      </c>
      <c r="G36" s="107" t="s">
        <v>300</v>
      </c>
      <c r="H36" s="237" t="s">
        <v>308</v>
      </c>
      <c r="I36" s="113"/>
      <c r="J36" s="308">
        <v>29</v>
      </c>
      <c r="K36" s="312" t="s">
        <v>79</v>
      </c>
      <c r="L36" s="108" t="s">
        <v>302</v>
      </c>
      <c r="M36" s="267" t="s">
        <v>317</v>
      </c>
      <c r="N36" s="108" t="s">
        <v>302</v>
      </c>
      <c r="O36" s="267" t="s">
        <v>316</v>
      </c>
      <c r="P36" s="108" t="s">
        <v>300</v>
      </c>
      <c r="Q36" s="296" t="s">
        <v>315</v>
      </c>
    </row>
    <row r="37" spans="1:17" s="103" customFormat="1">
      <c r="A37" s="300"/>
      <c r="B37" s="294"/>
      <c r="C37" s="107" t="s">
        <v>307</v>
      </c>
      <c r="D37" s="303"/>
      <c r="E37" s="107" t="s">
        <v>307</v>
      </c>
      <c r="F37" s="303"/>
      <c r="G37" s="107" t="s">
        <v>306</v>
      </c>
      <c r="H37" s="320"/>
      <c r="I37" s="112"/>
      <c r="J37" s="309"/>
      <c r="K37" s="294"/>
      <c r="L37" s="107" t="s">
        <v>314</v>
      </c>
      <c r="M37" s="268"/>
      <c r="N37" s="107" t="s">
        <v>313</v>
      </c>
      <c r="O37" s="268"/>
      <c r="P37" s="107" t="s">
        <v>312</v>
      </c>
      <c r="Q37" s="297"/>
    </row>
    <row r="38" spans="1:17" s="103" customFormat="1" ht="13.5" customHeight="1">
      <c r="A38" s="300"/>
      <c r="B38" s="294"/>
      <c r="C38" s="107" t="s">
        <v>47</v>
      </c>
      <c r="D38" s="303"/>
      <c r="E38" s="107" t="s">
        <v>47</v>
      </c>
      <c r="F38" s="303"/>
      <c r="G38" s="107" t="s">
        <v>305</v>
      </c>
      <c r="H38" s="320"/>
      <c r="I38" s="112"/>
      <c r="J38" s="309"/>
      <c r="K38" s="294"/>
      <c r="L38" s="107" t="s">
        <v>225</v>
      </c>
      <c r="M38" s="268"/>
      <c r="N38" s="107" t="s">
        <v>225</v>
      </c>
      <c r="O38" s="268"/>
      <c r="P38" s="107" t="s">
        <v>311</v>
      </c>
      <c r="Q38" s="297"/>
    </row>
    <row r="39" spans="1:17" s="103" customFormat="1">
      <c r="A39" s="301"/>
      <c r="B39" s="295"/>
      <c r="C39" s="106" t="s">
        <v>153</v>
      </c>
      <c r="D39" s="304"/>
      <c r="E39" s="106" t="s">
        <v>153</v>
      </c>
      <c r="F39" s="304"/>
      <c r="G39" s="106" t="s">
        <v>153</v>
      </c>
      <c r="H39" s="321"/>
      <c r="I39" s="112"/>
      <c r="J39" s="310"/>
      <c r="K39" s="313"/>
      <c r="L39" s="106" t="s">
        <v>69</v>
      </c>
      <c r="M39" s="269"/>
      <c r="N39" s="106" t="s">
        <v>69</v>
      </c>
      <c r="O39" s="269"/>
      <c r="P39" s="106"/>
      <c r="Q39" s="298"/>
    </row>
    <row r="40" spans="1:17" s="103" customFormat="1">
      <c r="A40" s="308">
        <v>17</v>
      </c>
      <c r="B40" s="312" t="s">
        <v>304</v>
      </c>
      <c r="C40" s="108" t="s">
        <v>302</v>
      </c>
      <c r="D40" s="296" t="s">
        <v>303</v>
      </c>
      <c r="E40" s="108" t="s">
        <v>302</v>
      </c>
      <c r="F40" s="296" t="s">
        <v>301</v>
      </c>
      <c r="G40" s="108" t="s">
        <v>300</v>
      </c>
      <c r="H40" s="296" t="s">
        <v>299</v>
      </c>
      <c r="I40" s="111"/>
      <c r="J40" s="317">
        <v>30</v>
      </c>
      <c r="K40" s="293" t="s">
        <v>310</v>
      </c>
      <c r="L40" s="107" t="s">
        <v>302</v>
      </c>
      <c r="M40" s="267" t="s">
        <v>309</v>
      </c>
      <c r="N40" s="107" t="s">
        <v>302</v>
      </c>
      <c r="O40" s="267" t="s">
        <v>309</v>
      </c>
      <c r="P40" s="107" t="s">
        <v>300</v>
      </c>
      <c r="Q40" s="296" t="s">
        <v>308</v>
      </c>
    </row>
    <row r="41" spans="1:17" s="103" customFormat="1">
      <c r="A41" s="309"/>
      <c r="B41" s="294"/>
      <c r="C41" s="107" t="s">
        <v>298</v>
      </c>
      <c r="D41" s="297"/>
      <c r="E41" s="107" t="s">
        <v>297</v>
      </c>
      <c r="F41" s="297"/>
      <c r="G41" s="107" t="s">
        <v>296</v>
      </c>
      <c r="H41" s="297"/>
      <c r="I41" s="110"/>
      <c r="J41" s="309"/>
      <c r="K41" s="294"/>
      <c r="L41" s="107" t="s">
        <v>307</v>
      </c>
      <c r="M41" s="268"/>
      <c r="N41" s="107" t="s">
        <v>307</v>
      </c>
      <c r="O41" s="268"/>
      <c r="P41" s="107" t="s">
        <v>306</v>
      </c>
      <c r="Q41" s="297"/>
    </row>
    <row r="42" spans="1:17" s="103" customFormat="1" ht="13.5" customHeight="1">
      <c r="A42" s="309"/>
      <c r="B42" s="294"/>
      <c r="C42" s="107" t="s">
        <v>295</v>
      </c>
      <c r="D42" s="297"/>
      <c r="E42" s="107" t="s">
        <v>295</v>
      </c>
      <c r="F42" s="297"/>
      <c r="G42" s="107" t="s">
        <v>294</v>
      </c>
      <c r="H42" s="297"/>
      <c r="I42" s="110"/>
      <c r="J42" s="309"/>
      <c r="K42" s="294"/>
      <c r="L42" s="107" t="s">
        <v>47</v>
      </c>
      <c r="M42" s="268"/>
      <c r="N42" s="107" t="s">
        <v>47</v>
      </c>
      <c r="O42" s="268"/>
      <c r="P42" s="107" t="s">
        <v>305</v>
      </c>
      <c r="Q42" s="297"/>
    </row>
    <row r="43" spans="1:17" s="103" customFormat="1">
      <c r="A43" s="311"/>
      <c r="B43" s="295"/>
      <c r="C43" s="106" t="s">
        <v>238</v>
      </c>
      <c r="D43" s="298"/>
      <c r="E43" s="106" t="s">
        <v>238</v>
      </c>
      <c r="F43" s="298"/>
      <c r="G43" s="106" t="s">
        <v>293</v>
      </c>
      <c r="H43" s="298"/>
      <c r="I43" s="110"/>
      <c r="J43" s="311"/>
      <c r="K43" s="295"/>
      <c r="L43" s="107" t="s">
        <v>153</v>
      </c>
      <c r="M43" s="269"/>
      <c r="N43" s="107" t="s">
        <v>153</v>
      </c>
      <c r="O43" s="269"/>
      <c r="P43" s="106" t="s">
        <v>153</v>
      </c>
      <c r="Q43" s="298"/>
    </row>
    <row r="44" spans="1:17" s="103" customFormat="1">
      <c r="A44" s="109"/>
      <c r="J44" s="308">
        <v>31</v>
      </c>
      <c r="K44" s="312" t="s">
        <v>304</v>
      </c>
      <c r="L44" s="108" t="s">
        <v>302</v>
      </c>
      <c r="M44" s="296" t="s">
        <v>303</v>
      </c>
      <c r="N44" s="108" t="s">
        <v>302</v>
      </c>
      <c r="O44" s="296" t="s">
        <v>301</v>
      </c>
      <c r="P44" s="108" t="s">
        <v>300</v>
      </c>
      <c r="Q44" s="296" t="s">
        <v>299</v>
      </c>
    </row>
    <row r="45" spans="1:17" s="103" customFormat="1">
      <c r="A45" s="102"/>
      <c r="B45" s="101"/>
      <c r="C45" s="101"/>
      <c r="D45" s="101"/>
      <c r="E45" s="101"/>
      <c r="F45" s="101"/>
      <c r="G45" s="101"/>
      <c r="H45" s="101"/>
      <c r="I45" s="101"/>
      <c r="J45" s="309"/>
      <c r="K45" s="294"/>
      <c r="L45" s="107" t="s">
        <v>298</v>
      </c>
      <c r="M45" s="297"/>
      <c r="N45" s="107" t="s">
        <v>297</v>
      </c>
      <c r="O45" s="297"/>
      <c r="P45" s="107" t="s">
        <v>296</v>
      </c>
      <c r="Q45" s="297"/>
    </row>
    <row r="46" spans="1:17" s="103" customFormat="1" ht="13.5" customHeight="1">
      <c r="A46" s="102"/>
      <c r="B46" s="101"/>
      <c r="C46" s="101"/>
      <c r="D46" s="101"/>
      <c r="E46" s="101"/>
      <c r="F46" s="101"/>
      <c r="G46" s="101"/>
      <c r="H46" s="101"/>
      <c r="I46" s="101"/>
      <c r="J46" s="309"/>
      <c r="K46" s="294"/>
      <c r="L46" s="107" t="s">
        <v>295</v>
      </c>
      <c r="M46" s="297"/>
      <c r="N46" s="107" t="s">
        <v>295</v>
      </c>
      <c r="O46" s="297"/>
      <c r="P46" s="107" t="s">
        <v>294</v>
      </c>
      <c r="Q46" s="297"/>
    </row>
    <row r="47" spans="1:17" s="103" customFormat="1">
      <c r="A47" s="102"/>
      <c r="B47" s="101"/>
      <c r="C47" s="101"/>
      <c r="D47" s="101"/>
      <c r="E47" s="101"/>
      <c r="F47" s="101"/>
      <c r="G47" s="101"/>
      <c r="H47" s="101"/>
      <c r="I47" s="101"/>
      <c r="J47" s="311"/>
      <c r="K47" s="295"/>
      <c r="L47" s="106" t="s">
        <v>238</v>
      </c>
      <c r="M47" s="298"/>
      <c r="N47" s="106" t="s">
        <v>238</v>
      </c>
      <c r="O47" s="298"/>
      <c r="P47" s="106" t="s">
        <v>293</v>
      </c>
      <c r="Q47" s="298"/>
    </row>
    <row r="48" spans="1:17" s="103" customFormat="1">
      <c r="A48" s="102"/>
      <c r="B48" s="101"/>
      <c r="C48" s="101"/>
      <c r="D48" s="101"/>
      <c r="E48" s="101"/>
      <c r="F48" s="101"/>
      <c r="G48" s="101"/>
      <c r="H48" s="101"/>
      <c r="I48" s="101"/>
      <c r="J48" s="325"/>
      <c r="K48" s="325"/>
      <c r="L48" s="105"/>
      <c r="M48" s="323"/>
      <c r="N48" s="105"/>
      <c r="O48" s="323"/>
      <c r="P48" s="105"/>
      <c r="Q48" s="323"/>
    </row>
    <row r="49" spans="1:17" s="103" customFormat="1">
      <c r="A49" s="102"/>
      <c r="B49" s="101"/>
      <c r="C49" s="101"/>
      <c r="D49" s="101"/>
      <c r="E49" s="101"/>
      <c r="F49" s="101"/>
      <c r="G49" s="101"/>
      <c r="H49" s="101"/>
      <c r="I49" s="101"/>
      <c r="J49" s="326"/>
      <c r="K49" s="327"/>
      <c r="L49" s="104"/>
      <c r="M49" s="324"/>
      <c r="N49" s="104"/>
      <c r="O49" s="324"/>
      <c r="P49" s="104"/>
      <c r="Q49" s="324"/>
    </row>
    <row r="50" spans="1:17" s="103" customFormat="1" ht="13.5" customHeight="1">
      <c r="A50" s="102"/>
      <c r="B50" s="101"/>
      <c r="C50" s="101"/>
      <c r="D50" s="101"/>
      <c r="E50" s="101"/>
      <c r="F50" s="101"/>
      <c r="G50" s="101"/>
      <c r="H50" s="101"/>
      <c r="I50" s="101"/>
      <c r="J50" s="326"/>
      <c r="K50" s="327"/>
      <c r="L50" s="104"/>
      <c r="M50" s="324"/>
      <c r="N50" s="104"/>
      <c r="O50" s="324"/>
      <c r="P50" s="104"/>
      <c r="Q50" s="324"/>
    </row>
    <row r="51" spans="1:17" s="103" customFormat="1">
      <c r="A51" s="102"/>
      <c r="B51" s="101"/>
      <c r="C51" s="101"/>
      <c r="D51" s="101"/>
      <c r="E51" s="101"/>
      <c r="F51" s="101"/>
      <c r="G51" s="101"/>
      <c r="H51" s="101"/>
      <c r="I51" s="101"/>
      <c r="J51" s="326"/>
      <c r="K51" s="327"/>
      <c r="L51" s="104"/>
      <c r="M51" s="324"/>
      <c r="N51" s="104"/>
      <c r="O51" s="324"/>
      <c r="P51" s="104"/>
      <c r="Q51" s="324"/>
    </row>
    <row r="52" spans="1:17" s="103" customFormat="1">
      <c r="A52" s="102"/>
      <c r="B52" s="101"/>
      <c r="C52" s="101"/>
      <c r="D52" s="101"/>
      <c r="E52" s="101"/>
      <c r="F52" s="101"/>
      <c r="G52" s="101"/>
      <c r="H52" s="101"/>
      <c r="I52" s="101"/>
      <c r="J52" s="102"/>
      <c r="K52" s="101"/>
      <c r="L52" s="101"/>
      <c r="M52" s="101"/>
      <c r="N52" s="101"/>
      <c r="O52" s="101"/>
      <c r="P52" s="101"/>
      <c r="Q52" s="101"/>
    </row>
    <row r="53" spans="1:17" s="103" customFormat="1">
      <c r="A53" s="102"/>
      <c r="B53" s="101"/>
      <c r="C53" s="101"/>
      <c r="D53" s="101"/>
      <c r="E53" s="101"/>
      <c r="F53" s="101"/>
      <c r="G53" s="101"/>
      <c r="H53" s="101"/>
      <c r="I53" s="101"/>
      <c r="J53" s="102"/>
      <c r="K53" s="101"/>
      <c r="L53" s="101"/>
      <c r="M53" s="101"/>
      <c r="N53" s="101"/>
      <c r="O53" s="101"/>
      <c r="P53" s="101"/>
      <c r="Q53" s="101"/>
    </row>
    <row r="54" spans="1:17" s="103" customFormat="1" ht="13.5" customHeight="1">
      <c r="A54" s="102"/>
      <c r="B54" s="101"/>
      <c r="C54" s="101"/>
      <c r="D54" s="101"/>
      <c r="E54" s="101"/>
      <c r="F54" s="101"/>
      <c r="G54" s="101"/>
      <c r="H54" s="101"/>
      <c r="I54" s="101"/>
      <c r="J54" s="102"/>
      <c r="K54" s="101"/>
      <c r="L54" s="101"/>
      <c r="M54" s="101"/>
      <c r="N54" s="101"/>
      <c r="O54" s="101"/>
      <c r="P54" s="101"/>
      <c r="Q54" s="101"/>
    </row>
    <row r="55" spans="1:17" s="103" customFormat="1">
      <c r="A55" s="102"/>
      <c r="B55" s="101"/>
      <c r="C55" s="101"/>
      <c r="D55" s="101"/>
      <c r="E55" s="101"/>
      <c r="F55" s="101"/>
      <c r="G55" s="101"/>
      <c r="H55" s="101"/>
      <c r="I55" s="101"/>
      <c r="J55" s="102"/>
      <c r="K55" s="101"/>
      <c r="L55" s="101"/>
      <c r="M55" s="101"/>
      <c r="N55" s="101"/>
      <c r="O55" s="101"/>
      <c r="P55" s="101"/>
      <c r="Q55" s="101"/>
    </row>
    <row r="56" spans="1:17" s="103" customFormat="1">
      <c r="A56" s="102"/>
      <c r="B56" s="101"/>
      <c r="C56" s="101"/>
      <c r="D56" s="101"/>
      <c r="E56" s="101"/>
      <c r="F56" s="101"/>
      <c r="G56" s="101"/>
      <c r="H56" s="101"/>
      <c r="I56" s="101"/>
      <c r="J56" s="102"/>
      <c r="K56" s="101"/>
      <c r="L56" s="101"/>
      <c r="M56" s="101"/>
      <c r="N56" s="101"/>
      <c r="O56" s="101"/>
      <c r="P56" s="101"/>
      <c r="Q56" s="101"/>
    </row>
    <row r="57" spans="1:17" s="103" customFormat="1">
      <c r="A57" s="102"/>
      <c r="B57" s="101"/>
      <c r="C57" s="101"/>
      <c r="D57" s="101"/>
      <c r="E57" s="101"/>
      <c r="F57" s="101"/>
      <c r="G57" s="101"/>
      <c r="H57" s="101"/>
      <c r="I57" s="101"/>
      <c r="J57" s="102"/>
      <c r="K57" s="101"/>
      <c r="L57" s="101"/>
      <c r="M57" s="101"/>
      <c r="N57" s="101"/>
      <c r="O57" s="101"/>
      <c r="P57" s="101"/>
      <c r="Q57" s="101"/>
    </row>
    <row r="58" spans="1:17" s="103" customFormat="1" ht="13.5" customHeight="1">
      <c r="A58" s="102"/>
      <c r="B58" s="101"/>
      <c r="C58" s="101"/>
      <c r="D58" s="101"/>
      <c r="E58" s="101"/>
      <c r="F58" s="101"/>
      <c r="G58" s="101"/>
      <c r="H58" s="101"/>
      <c r="I58" s="101"/>
      <c r="J58" s="102"/>
      <c r="K58" s="101"/>
      <c r="L58" s="101"/>
      <c r="M58" s="101"/>
      <c r="N58" s="101"/>
      <c r="O58" s="101"/>
      <c r="P58" s="101"/>
      <c r="Q58" s="101"/>
    </row>
    <row r="59" spans="1:17" s="103" customFormat="1">
      <c r="A59" s="102"/>
      <c r="B59" s="101"/>
      <c r="C59" s="101"/>
      <c r="D59" s="101"/>
      <c r="E59" s="101"/>
      <c r="F59" s="101"/>
      <c r="G59" s="101"/>
      <c r="H59" s="101"/>
      <c r="I59" s="101"/>
      <c r="J59" s="102"/>
      <c r="K59" s="101"/>
      <c r="L59" s="101"/>
      <c r="M59" s="101"/>
      <c r="N59" s="101"/>
      <c r="O59" s="101"/>
      <c r="P59" s="101"/>
      <c r="Q59" s="101"/>
    </row>
    <row r="60" spans="1:17" s="103" customFormat="1">
      <c r="A60" s="102"/>
      <c r="B60" s="101"/>
      <c r="C60" s="101"/>
      <c r="D60" s="101"/>
      <c r="E60" s="101"/>
      <c r="F60" s="101"/>
      <c r="G60" s="101"/>
      <c r="H60" s="101"/>
      <c r="I60" s="101"/>
      <c r="J60" s="102"/>
      <c r="K60" s="101"/>
      <c r="L60" s="101"/>
      <c r="M60" s="101"/>
      <c r="N60" s="101"/>
      <c r="O60" s="101"/>
      <c r="P60" s="101"/>
      <c r="Q60" s="101"/>
    </row>
    <row r="61" spans="1:17" s="103" customFormat="1">
      <c r="A61" s="102"/>
      <c r="B61" s="101"/>
      <c r="C61" s="101"/>
      <c r="D61" s="101"/>
      <c r="E61" s="101"/>
      <c r="F61" s="101"/>
      <c r="G61" s="101"/>
      <c r="H61" s="101"/>
      <c r="I61" s="101"/>
      <c r="J61" s="102"/>
      <c r="K61" s="101"/>
      <c r="L61" s="101"/>
      <c r="M61" s="101"/>
      <c r="N61" s="101"/>
      <c r="O61" s="101"/>
      <c r="P61" s="101"/>
      <c r="Q61" s="101"/>
    </row>
    <row r="62" spans="1:17" s="103" customFormat="1" ht="13.5" customHeight="1">
      <c r="A62" s="102"/>
      <c r="B62" s="101"/>
      <c r="C62" s="101"/>
      <c r="D62" s="101"/>
      <c r="E62" s="101"/>
      <c r="F62" s="101"/>
      <c r="G62" s="101"/>
      <c r="H62" s="101"/>
      <c r="I62" s="101"/>
      <c r="J62" s="102"/>
      <c r="K62" s="101"/>
      <c r="L62" s="101"/>
      <c r="M62" s="101"/>
      <c r="N62" s="101"/>
      <c r="O62" s="101"/>
      <c r="P62" s="101"/>
      <c r="Q62" s="101"/>
    </row>
    <row r="63" spans="1:17" s="103" customFormat="1">
      <c r="A63" s="102"/>
      <c r="B63" s="101"/>
      <c r="C63" s="101"/>
      <c r="D63" s="101"/>
      <c r="E63" s="101"/>
      <c r="F63" s="101"/>
      <c r="G63" s="101"/>
      <c r="H63" s="101"/>
      <c r="I63" s="101"/>
      <c r="J63" s="102"/>
      <c r="K63" s="101"/>
      <c r="L63" s="101"/>
      <c r="M63" s="101"/>
      <c r="N63" s="101"/>
      <c r="O63" s="101"/>
      <c r="P63" s="101"/>
      <c r="Q63" s="101"/>
    </row>
    <row r="64" spans="1:17" s="103" customFormat="1">
      <c r="A64" s="102"/>
      <c r="B64" s="101"/>
      <c r="C64" s="101"/>
      <c r="D64" s="101"/>
      <c r="E64" s="101"/>
      <c r="F64" s="101"/>
      <c r="G64" s="101"/>
      <c r="H64" s="101"/>
      <c r="I64" s="101"/>
      <c r="J64" s="102"/>
      <c r="K64" s="101"/>
      <c r="L64" s="101"/>
      <c r="M64" s="101"/>
      <c r="N64" s="101"/>
      <c r="O64" s="101"/>
      <c r="P64" s="101"/>
      <c r="Q64" s="101"/>
    </row>
    <row r="65" spans="1:17" s="103" customFormat="1">
      <c r="A65" s="102"/>
      <c r="B65" s="101"/>
      <c r="C65" s="101"/>
      <c r="D65" s="101"/>
      <c r="E65" s="101"/>
      <c r="F65" s="101"/>
      <c r="G65" s="101"/>
      <c r="H65" s="101"/>
      <c r="I65" s="101"/>
      <c r="J65" s="102"/>
      <c r="K65" s="101"/>
      <c r="L65" s="101"/>
      <c r="M65" s="101"/>
      <c r="N65" s="101"/>
      <c r="O65" s="101"/>
      <c r="P65" s="101"/>
      <c r="Q65" s="101"/>
    </row>
    <row r="66" spans="1:17" s="103" customFormat="1">
      <c r="A66" s="102"/>
      <c r="B66" s="101"/>
      <c r="C66" s="101"/>
      <c r="D66" s="101"/>
      <c r="E66" s="101"/>
      <c r="F66" s="101"/>
      <c r="G66" s="101"/>
      <c r="H66" s="101"/>
      <c r="I66" s="101"/>
      <c r="J66" s="102"/>
      <c r="K66" s="101"/>
      <c r="L66" s="101"/>
      <c r="M66" s="101"/>
      <c r="N66" s="101"/>
      <c r="O66" s="101"/>
      <c r="P66" s="101"/>
      <c r="Q66" s="101"/>
    </row>
  </sheetData>
  <mergeCells count="110">
    <mergeCell ref="J44:J47"/>
    <mergeCell ref="K44:K47"/>
    <mergeCell ref="M44:M47"/>
    <mergeCell ref="Q48:Q51"/>
    <mergeCell ref="O44:O47"/>
    <mergeCell ref="Q44:Q47"/>
    <mergeCell ref="J48:J51"/>
    <mergeCell ref="K48:K51"/>
    <mergeCell ref="M48:M51"/>
    <mergeCell ref="O48:O51"/>
    <mergeCell ref="O40:O43"/>
    <mergeCell ref="Q40:Q43"/>
    <mergeCell ref="O36:O39"/>
    <mergeCell ref="Q36:Q39"/>
    <mergeCell ref="A32:A35"/>
    <mergeCell ref="B32:B35"/>
    <mergeCell ref="D32:D35"/>
    <mergeCell ref="F32:F35"/>
    <mergeCell ref="F40:F43"/>
    <mergeCell ref="H40:H43"/>
    <mergeCell ref="J40:J43"/>
    <mergeCell ref="K40:K43"/>
    <mergeCell ref="M40:M43"/>
    <mergeCell ref="H36:H39"/>
    <mergeCell ref="J36:J39"/>
    <mergeCell ref="K36:K39"/>
    <mergeCell ref="M36:M39"/>
    <mergeCell ref="A36:A39"/>
    <mergeCell ref="B36:B39"/>
    <mergeCell ref="D36:D39"/>
    <mergeCell ref="F36:F39"/>
    <mergeCell ref="H32:H35"/>
    <mergeCell ref="A28:A31"/>
    <mergeCell ref="Q22:Q25"/>
    <mergeCell ref="A22:A25"/>
    <mergeCell ref="B22:B25"/>
    <mergeCell ref="D22:D25"/>
    <mergeCell ref="F22:F25"/>
    <mergeCell ref="B28:B31"/>
    <mergeCell ref="D28:D31"/>
    <mergeCell ref="F28:F31"/>
    <mergeCell ref="J32:J35"/>
    <mergeCell ref="K32:K35"/>
    <mergeCell ref="M32:M35"/>
    <mergeCell ref="O28:O31"/>
    <mergeCell ref="Q28:Q31"/>
    <mergeCell ref="J28:J31"/>
    <mergeCell ref="K28:K31"/>
    <mergeCell ref="M28:M31"/>
    <mergeCell ref="O32:O35"/>
    <mergeCell ref="Q32:Q35"/>
    <mergeCell ref="H28:H31"/>
    <mergeCell ref="F18:F21"/>
    <mergeCell ref="H14:H17"/>
    <mergeCell ref="J18:J21"/>
    <mergeCell ref="K18:K21"/>
    <mergeCell ref="M18:M21"/>
    <mergeCell ref="O14:O17"/>
    <mergeCell ref="H18:H21"/>
    <mergeCell ref="J22:J25"/>
    <mergeCell ref="K22:K25"/>
    <mergeCell ref="M22:M25"/>
    <mergeCell ref="H22:H25"/>
    <mergeCell ref="O18:O21"/>
    <mergeCell ref="O22:O25"/>
    <mergeCell ref="A40:A43"/>
    <mergeCell ref="B40:B43"/>
    <mergeCell ref="D40:D43"/>
    <mergeCell ref="O6:O9"/>
    <mergeCell ref="Q6:Q9"/>
    <mergeCell ref="A6:A9"/>
    <mergeCell ref="B6:B9"/>
    <mergeCell ref="D6:D9"/>
    <mergeCell ref="F6:F9"/>
    <mergeCell ref="J6:J9"/>
    <mergeCell ref="Q14:Q17"/>
    <mergeCell ref="A14:A17"/>
    <mergeCell ref="B14:B17"/>
    <mergeCell ref="D14:D17"/>
    <mergeCell ref="F14:F17"/>
    <mergeCell ref="H10:H13"/>
    <mergeCell ref="J14:J17"/>
    <mergeCell ref="K14:K17"/>
    <mergeCell ref="M14:M17"/>
    <mergeCell ref="K10:K13"/>
    <mergeCell ref="Q18:Q21"/>
    <mergeCell ref="A18:A21"/>
    <mergeCell ref="B18:B21"/>
    <mergeCell ref="D18:D21"/>
    <mergeCell ref="J2:J5"/>
    <mergeCell ref="M10:M13"/>
    <mergeCell ref="K2:K5"/>
    <mergeCell ref="L2:M4"/>
    <mergeCell ref="N2:O4"/>
    <mergeCell ref="P2:Q4"/>
    <mergeCell ref="A2:A5"/>
    <mergeCell ref="B2:B5"/>
    <mergeCell ref="C2:D4"/>
    <mergeCell ref="E2:F4"/>
    <mergeCell ref="G2:H4"/>
    <mergeCell ref="K6:K9"/>
    <mergeCell ref="M6:M9"/>
    <mergeCell ref="O10:O13"/>
    <mergeCell ref="Q10:Q13"/>
    <mergeCell ref="A10:A13"/>
    <mergeCell ref="B10:B13"/>
    <mergeCell ref="D10:D13"/>
    <mergeCell ref="F10:F13"/>
    <mergeCell ref="H6:H9"/>
    <mergeCell ref="J10:J13"/>
  </mergeCells>
  <phoneticPr fontId="21"/>
  <printOptions horizontalCentered="1" verticalCentered="1"/>
  <pageMargins left="0" right="0" top="0" bottom="0" header="0.19685039370078741" footer="0.19685039370078741"/>
  <pageSetup paperSize="12" scale="76" orientation="landscape" r:id="rId1"/>
  <headerFooter alignWithMargins="0"/>
  <colBreaks count="1" manualBreakCount="1">
    <brk id="9"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259</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3.1"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3.1" customHeight="1">
      <c r="A6" s="333"/>
      <c r="B6" s="61"/>
      <c r="C6" s="42"/>
      <c r="D6" s="43"/>
      <c r="E6" s="44"/>
      <c r="F6" s="45"/>
      <c r="G6" s="65"/>
      <c r="H6" s="69"/>
      <c r="I6" s="43"/>
      <c r="J6" s="45"/>
      <c r="K6" s="45"/>
      <c r="L6" s="45"/>
      <c r="M6" s="73"/>
      <c r="N6" s="61"/>
      <c r="O6" s="46"/>
      <c r="P6" s="43"/>
      <c r="Q6" s="47"/>
      <c r="R6" s="84"/>
    </row>
    <row r="7" spans="1:19" ht="23.1" customHeight="1">
      <c r="A7" s="333"/>
      <c r="B7" s="62" t="s">
        <v>14</v>
      </c>
      <c r="C7" s="48" t="s">
        <v>19</v>
      </c>
      <c r="D7" s="49"/>
      <c r="E7" s="50">
        <v>1</v>
      </c>
      <c r="F7" s="51" t="s">
        <v>21</v>
      </c>
      <c r="G7" s="66" t="s">
        <v>20</v>
      </c>
      <c r="H7" s="70" t="s">
        <v>19</v>
      </c>
      <c r="I7" s="49"/>
      <c r="J7" s="51">
        <f>ROUNDUP(E7*0.75,2)</f>
        <v>0.75</v>
      </c>
      <c r="K7" s="51" t="s">
        <v>21</v>
      </c>
      <c r="L7" s="51" t="s">
        <v>20</v>
      </c>
      <c r="M7" s="74" t="e">
        <f>#REF!</f>
        <v>#REF!</v>
      </c>
      <c r="N7" s="62" t="s">
        <v>15</v>
      </c>
      <c r="O7" s="52" t="s">
        <v>22</v>
      </c>
      <c r="P7" s="49" t="s">
        <v>23</v>
      </c>
      <c r="Q7" s="53">
        <v>3</v>
      </c>
      <c r="R7" s="85">
        <f t="shared" ref="R7:R15" si="0">ROUNDUP(Q7*0.75,2)</f>
        <v>2.25</v>
      </c>
    </row>
    <row r="8" spans="1:19" ht="23.1" customHeight="1">
      <c r="A8" s="333"/>
      <c r="B8" s="62"/>
      <c r="C8" s="48" t="s">
        <v>152</v>
      </c>
      <c r="D8" s="49"/>
      <c r="E8" s="50">
        <v>20</v>
      </c>
      <c r="F8" s="51" t="s">
        <v>34</v>
      </c>
      <c r="G8" s="66"/>
      <c r="H8" s="70" t="s">
        <v>152</v>
      </c>
      <c r="I8" s="49"/>
      <c r="J8" s="51">
        <f>ROUNDUP(E8*0.75,2)</f>
        <v>15</v>
      </c>
      <c r="K8" s="51" t="s">
        <v>34</v>
      </c>
      <c r="L8" s="51"/>
      <c r="M8" s="74" t="e">
        <f>ROUND(#REF!+(#REF!*15/100),2)</f>
        <v>#REF!</v>
      </c>
      <c r="N8" s="62" t="s">
        <v>16</v>
      </c>
      <c r="O8" s="52" t="s">
        <v>24</v>
      </c>
      <c r="P8" s="49"/>
      <c r="Q8" s="53">
        <v>1</v>
      </c>
      <c r="R8" s="85">
        <f t="shared" si="0"/>
        <v>0.75</v>
      </c>
    </row>
    <row r="9" spans="1:19" ht="23.1" customHeight="1">
      <c r="A9" s="333"/>
      <c r="B9" s="62"/>
      <c r="C9" s="48"/>
      <c r="D9" s="49"/>
      <c r="E9" s="50"/>
      <c r="F9" s="51"/>
      <c r="G9" s="66"/>
      <c r="H9" s="70"/>
      <c r="I9" s="49"/>
      <c r="J9" s="51"/>
      <c r="K9" s="51"/>
      <c r="L9" s="51"/>
      <c r="M9" s="74"/>
      <c r="N9" s="62" t="s">
        <v>17</v>
      </c>
      <c r="O9" s="52" t="s">
        <v>25</v>
      </c>
      <c r="P9" s="49" t="s">
        <v>26</v>
      </c>
      <c r="Q9" s="53">
        <v>1</v>
      </c>
      <c r="R9" s="85">
        <f t="shared" si="0"/>
        <v>0.75</v>
      </c>
    </row>
    <row r="10" spans="1:19" ht="23.1" customHeight="1">
      <c r="A10" s="333"/>
      <c r="B10" s="62"/>
      <c r="C10" s="48"/>
      <c r="D10" s="49"/>
      <c r="E10" s="50"/>
      <c r="F10" s="51"/>
      <c r="G10" s="66"/>
      <c r="H10" s="70"/>
      <c r="I10" s="49"/>
      <c r="J10" s="51"/>
      <c r="K10" s="51"/>
      <c r="L10" s="51"/>
      <c r="M10" s="74"/>
      <c r="N10" s="62" t="s">
        <v>229</v>
      </c>
      <c r="O10" s="52" t="s">
        <v>27</v>
      </c>
      <c r="P10" s="49"/>
      <c r="Q10" s="53">
        <v>0.5</v>
      </c>
      <c r="R10" s="85">
        <f t="shared" si="0"/>
        <v>0.38</v>
      </c>
    </row>
    <row r="11" spans="1:19" ht="23.1" customHeight="1">
      <c r="A11" s="333"/>
      <c r="B11" s="62"/>
      <c r="C11" s="48"/>
      <c r="D11" s="49"/>
      <c r="E11" s="50"/>
      <c r="F11" s="51"/>
      <c r="G11" s="66"/>
      <c r="H11" s="70"/>
      <c r="I11" s="49"/>
      <c r="J11" s="51"/>
      <c r="K11" s="51"/>
      <c r="L11" s="51"/>
      <c r="M11" s="74"/>
      <c r="N11" s="62" t="s">
        <v>18</v>
      </c>
      <c r="O11" s="52" t="s">
        <v>28</v>
      </c>
      <c r="P11" s="49"/>
      <c r="Q11" s="53">
        <v>1</v>
      </c>
      <c r="R11" s="85">
        <f t="shared" si="0"/>
        <v>0.75</v>
      </c>
    </row>
    <row r="12" spans="1:19" ht="23.1" customHeight="1">
      <c r="A12" s="333"/>
      <c r="B12" s="62"/>
      <c r="C12" s="48"/>
      <c r="D12" s="49"/>
      <c r="E12" s="50"/>
      <c r="F12" s="51"/>
      <c r="G12" s="66"/>
      <c r="H12" s="70"/>
      <c r="I12" s="49"/>
      <c r="J12" s="51"/>
      <c r="K12" s="51"/>
      <c r="L12" s="51"/>
      <c r="M12" s="74"/>
      <c r="N12" s="62"/>
      <c r="O12" s="52" t="s">
        <v>29</v>
      </c>
      <c r="P12" s="49"/>
      <c r="Q12" s="53">
        <v>1</v>
      </c>
      <c r="R12" s="85">
        <f t="shared" si="0"/>
        <v>0.75</v>
      </c>
    </row>
    <row r="13" spans="1:19" ht="23.1" customHeight="1">
      <c r="A13" s="333"/>
      <c r="B13" s="62"/>
      <c r="C13" s="48"/>
      <c r="D13" s="49"/>
      <c r="E13" s="50"/>
      <c r="F13" s="51"/>
      <c r="G13" s="66"/>
      <c r="H13" s="70"/>
      <c r="I13" s="49"/>
      <c r="J13" s="51"/>
      <c r="K13" s="51"/>
      <c r="L13" s="51"/>
      <c r="M13" s="74"/>
      <c r="N13" s="62"/>
      <c r="O13" s="52" t="s">
        <v>30</v>
      </c>
      <c r="P13" s="49" t="s">
        <v>31</v>
      </c>
      <c r="Q13" s="53">
        <v>2</v>
      </c>
      <c r="R13" s="85">
        <f t="shared" si="0"/>
        <v>1.5</v>
      </c>
    </row>
    <row r="14" spans="1:19" ht="23.1" customHeight="1">
      <c r="A14" s="333"/>
      <c r="B14" s="62"/>
      <c r="C14" s="48"/>
      <c r="D14" s="49"/>
      <c r="E14" s="50"/>
      <c r="F14" s="51"/>
      <c r="G14" s="66"/>
      <c r="H14" s="70"/>
      <c r="I14" s="49"/>
      <c r="J14" s="51"/>
      <c r="K14" s="51"/>
      <c r="L14" s="51"/>
      <c r="M14" s="74"/>
      <c r="N14" s="62"/>
      <c r="O14" s="52" t="s">
        <v>35</v>
      </c>
      <c r="P14" s="49" t="s">
        <v>23</v>
      </c>
      <c r="Q14" s="53">
        <v>0.5</v>
      </c>
      <c r="R14" s="85">
        <f t="shared" si="0"/>
        <v>0.38</v>
      </c>
    </row>
    <row r="15" spans="1:19" ht="23.1" customHeight="1">
      <c r="A15" s="333"/>
      <c r="B15" s="62"/>
      <c r="C15" s="48"/>
      <c r="D15" s="49"/>
      <c r="E15" s="50"/>
      <c r="F15" s="51"/>
      <c r="G15" s="66"/>
      <c r="H15" s="70"/>
      <c r="I15" s="49"/>
      <c r="J15" s="51"/>
      <c r="K15" s="51"/>
      <c r="L15" s="51"/>
      <c r="M15" s="74"/>
      <c r="N15" s="62"/>
      <c r="O15" s="52" t="s">
        <v>36</v>
      </c>
      <c r="P15" s="49"/>
      <c r="Q15" s="53">
        <v>1</v>
      </c>
      <c r="R15" s="85">
        <f t="shared" si="0"/>
        <v>0.75</v>
      </c>
    </row>
    <row r="16" spans="1:19" ht="23.1" customHeight="1">
      <c r="A16" s="333"/>
      <c r="B16" s="61"/>
      <c r="C16" s="42"/>
      <c r="D16" s="43"/>
      <c r="E16" s="44"/>
      <c r="F16" s="45"/>
      <c r="G16" s="65"/>
      <c r="H16" s="69"/>
      <c r="I16" s="43"/>
      <c r="J16" s="45"/>
      <c r="K16" s="45"/>
      <c r="L16" s="45"/>
      <c r="M16" s="73"/>
      <c r="N16" s="61"/>
      <c r="O16" s="46"/>
      <c r="P16" s="43"/>
      <c r="Q16" s="47"/>
      <c r="R16" s="84"/>
    </row>
    <row r="17" spans="1:18" ht="23.1" customHeight="1">
      <c r="A17" s="333"/>
      <c r="B17" s="62" t="s">
        <v>37</v>
      </c>
      <c r="C17" s="48" t="s">
        <v>39</v>
      </c>
      <c r="D17" s="49"/>
      <c r="E17" s="50">
        <v>2</v>
      </c>
      <c r="F17" s="51" t="s">
        <v>40</v>
      </c>
      <c r="G17" s="66"/>
      <c r="H17" s="70" t="s">
        <v>39</v>
      </c>
      <c r="I17" s="49"/>
      <c r="J17" s="51">
        <f>ROUNDUP(E17*0.75,2)</f>
        <v>1.5</v>
      </c>
      <c r="K17" s="51" t="s">
        <v>40</v>
      </c>
      <c r="L17" s="51"/>
      <c r="M17" s="74" t="e">
        <f>#REF!</f>
        <v>#REF!</v>
      </c>
      <c r="N17" s="62" t="s">
        <v>38</v>
      </c>
      <c r="O17" s="52" t="s">
        <v>44</v>
      </c>
      <c r="P17" s="49"/>
      <c r="Q17" s="53">
        <v>2</v>
      </c>
      <c r="R17" s="85">
        <f>ROUNDUP(Q17*0.75,2)</f>
        <v>1.5</v>
      </c>
    </row>
    <row r="18" spans="1:18" ht="23.1" customHeight="1">
      <c r="A18" s="333"/>
      <c r="B18" s="62"/>
      <c r="C18" s="48" t="s">
        <v>135</v>
      </c>
      <c r="D18" s="49"/>
      <c r="E18" s="50">
        <v>30</v>
      </c>
      <c r="F18" s="51" t="s">
        <v>34</v>
      </c>
      <c r="G18" s="66"/>
      <c r="H18" s="70" t="s">
        <v>135</v>
      </c>
      <c r="I18" s="49"/>
      <c r="J18" s="51">
        <f>ROUNDUP(E18*0.75,2)</f>
        <v>22.5</v>
      </c>
      <c r="K18" s="51" t="s">
        <v>34</v>
      </c>
      <c r="L18" s="51"/>
      <c r="M18" s="74" t="e">
        <f>ROUND(#REF!+(#REF!*6/100),2)</f>
        <v>#REF!</v>
      </c>
      <c r="N18" s="62" t="s">
        <v>230</v>
      </c>
      <c r="O18" s="52" t="s">
        <v>45</v>
      </c>
      <c r="P18" s="49"/>
      <c r="Q18" s="53">
        <v>0.2</v>
      </c>
      <c r="R18" s="85">
        <f>ROUNDUP(Q18*0.75,2)</f>
        <v>0.15</v>
      </c>
    </row>
    <row r="19" spans="1:18" ht="23.1" customHeight="1">
      <c r="A19" s="333"/>
      <c r="B19" s="62"/>
      <c r="C19" s="48" t="s">
        <v>243</v>
      </c>
      <c r="D19" s="49"/>
      <c r="E19" s="50">
        <v>5</v>
      </c>
      <c r="F19" s="51" t="s">
        <v>34</v>
      </c>
      <c r="G19" s="66"/>
      <c r="H19" s="70" t="s">
        <v>243</v>
      </c>
      <c r="I19" s="49"/>
      <c r="J19" s="51">
        <f>ROUNDUP(E19*0.75,2)</f>
        <v>3.75</v>
      </c>
      <c r="K19" s="51" t="s">
        <v>34</v>
      </c>
      <c r="L19" s="51"/>
      <c r="M19" s="74" t="e">
        <f>ROUND(#REF!+(#REF!*10/100),2)</f>
        <v>#REF!</v>
      </c>
      <c r="N19" s="62" t="s">
        <v>18</v>
      </c>
      <c r="O19" s="52" t="s">
        <v>46</v>
      </c>
      <c r="P19" s="49"/>
      <c r="Q19" s="53">
        <v>0.01</v>
      </c>
      <c r="R19" s="85">
        <f>ROUNDUP(Q19*0.75,2)</f>
        <v>0.01</v>
      </c>
    </row>
    <row r="20" spans="1:18" ht="23.1" customHeight="1">
      <c r="A20" s="333"/>
      <c r="B20" s="62"/>
      <c r="C20" s="48" t="s">
        <v>232</v>
      </c>
      <c r="D20" s="49"/>
      <c r="E20" s="50">
        <v>2</v>
      </c>
      <c r="F20" s="51" t="s">
        <v>34</v>
      </c>
      <c r="G20" s="66"/>
      <c r="H20" s="70" t="s">
        <v>232</v>
      </c>
      <c r="I20" s="49"/>
      <c r="J20" s="51">
        <f>ROUNDUP(E20*0.75,2)</f>
        <v>1.5</v>
      </c>
      <c r="K20" s="51" t="s">
        <v>34</v>
      </c>
      <c r="L20" s="51"/>
      <c r="M20" s="74" t="e">
        <f>ROUND(#REF!+(#REF!*10/100),2)</f>
        <v>#REF!</v>
      </c>
      <c r="N20" s="62"/>
      <c r="O20" s="52"/>
      <c r="P20" s="49"/>
      <c r="Q20" s="53"/>
      <c r="R20" s="85"/>
    </row>
    <row r="21" spans="1:18" ht="23.1" customHeight="1">
      <c r="A21" s="333"/>
      <c r="B21" s="61"/>
      <c r="C21" s="42"/>
      <c r="D21" s="43"/>
      <c r="E21" s="44"/>
      <c r="F21" s="45"/>
      <c r="G21" s="65"/>
      <c r="H21" s="69"/>
      <c r="I21" s="43"/>
      <c r="J21" s="45"/>
      <c r="K21" s="45"/>
      <c r="L21" s="45"/>
      <c r="M21" s="73"/>
      <c r="N21" s="61"/>
      <c r="O21" s="46"/>
      <c r="P21" s="43"/>
      <c r="Q21" s="47"/>
      <c r="R21" s="84"/>
    </row>
    <row r="22" spans="1:18" ht="23.1" customHeight="1">
      <c r="A22" s="333"/>
      <c r="B22" s="62" t="s">
        <v>47</v>
      </c>
      <c r="C22" s="48" t="s">
        <v>48</v>
      </c>
      <c r="D22" s="49"/>
      <c r="E22" s="50">
        <v>0.5</v>
      </c>
      <c r="F22" s="51" t="s">
        <v>34</v>
      </c>
      <c r="G22" s="66" t="s">
        <v>49</v>
      </c>
      <c r="H22" s="70" t="s">
        <v>48</v>
      </c>
      <c r="I22" s="49"/>
      <c r="J22" s="51">
        <f>ROUNDUP(E22*0.75,2)</f>
        <v>0.38</v>
      </c>
      <c r="K22" s="51" t="s">
        <v>34</v>
      </c>
      <c r="L22" s="51" t="s">
        <v>49</v>
      </c>
      <c r="M22" s="74" t="e">
        <f>#REF!</f>
        <v>#REF!</v>
      </c>
      <c r="N22" s="62" t="s">
        <v>18</v>
      </c>
      <c r="O22" s="52" t="s">
        <v>36</v>
      </c>
      <c r="P22" s="49"/>
      <c r="Q22" s="53">
        <v>100</v>
      </c>
      <c r="R22" s="85">
        <f>ROUNDUP(Q22*0.75,2)</f>
        <v>75</v>
      </c>
    </row>
    <row r="23" spans="1:18" ht="23.1" customHeight="1">
      <c r="A23" s="333"/>
      <c r="B23" s="62"/>
      <c r="C23" s="48" t="s">
        <v>149</v>
      </c>
      <c r="D23" s="49"/>
      <c r="E23" s="50">
        <v>20</v>
      </c>
      <c r="F23" s="51" t="s">
        <v>34</v>
      </c>
      <c r="G23" s="66"/>
      <c r="H23" s="70" t="s">
        <v>149</v>
      </c>
      <c r="I23" s="49"/>
      <c r="J23" s="51">
        <f>ROUNDUP(E23*0.75,2)</f>
        <v>15</v>
      </c>
      <c r="K23" s="51" t="s">
        <v>34</v>
      </c>
      <c r="L23" s="51"/>
      <c r="M23" s="74" t="e">
        <f>ROUND(#REF!+(#REF!*15/100),2)</f>
        <v>#REF!</v>
      </c>
      <c r="N23" s="62"/>
      <c r="O23" s="52" t="s">
        <v>45</v>
      </c>
      <c r="P23" s="49"/>
      <c r="Q23" s="53">
        <v>0.1</v>
      </c>
      <c r="R23" s="85">
        <f>ROUNDUP(Q23*0.75,2)</f>
        <v>0.08</v>
      </c>
    </row>
    <row r="24" spans="1:18" ht="23.1" customHeight="1">
      <c r="A24" s="333"/>
      <c r="B24" s="62"/>
      <c r="C24" s="48"/>
      <c r="D24" s="49"/>
      <c r="E24" s="50"/>
      <c r="F24" s="51"/>
      <c r="G24" s="66"/>
      <c r="H24" s="70"/>
      <c r="I24" s="49"/>
      <c r="J24" s="51"/>
      <c r="K24" s="51"/>
      <c r="L24" s="51"/>
      <c r="M24" s="74"/>
      <c r="N24" s="62"/>
      <c r="O24" s="52" t="s">
        <v>35</v>
      </c>
      <c r="P24" s="49" t="s">
        <v>23</v>
      </c>
      <c r="Q24" s="53">
        <v>0.5</v>
      </c>
      <c r="R24" s="85">
        <f>ROUNDUP(Q24*0.75,2)</f>
        <v>0.38</v>
      </c>
    </row>
    <row r="25" spans="1:18" ht="23.1" customHeight="1">
      <c r="A25" s="333"/>
      <c r="B25" s="61"/>
      <c r="C25" s="42"/>
      <c r="D25" s="43"/>
      <c r="E25" s="44"/>
      <c r="F25" s="45"/>
      <c r="G25" s="65"/>
      <c r="H25" s="69"/>
      <c r="I25" s="43"/>
      <c r="J25" s="45"/>
      <c r="K25" s="45"/>
      <c r="L25" s="45"/>
      <c r="M25" s="73"/>
      <c r="N25" s="61"/>
      <c r="O25" s="46"/>
      <c r="P25" s="43"/>
      <c r="Q25" s="47"/>
      <c r="R25" s="84"/>
    </row>
    <row r="26" spans="1:18" ht="23.1" customHeight="1">
      <c r="A26" s="333"/>
      <c r="B26" s="62" t="s">
        <v>153</v>
      </c>
      <c r="C26" s="48" t="s">
        <v>154</v>
      </c>
      <c r="D26" s="49"/>
      <c r="E26" s="76">
        <v>0.25</v>
      </c>
      <c r="F26" s="51" t="s">
        <v>40</v>
      </c>
      <c r="G26" s="66"/>
      <c r="H26" s="70" t="s">
        <v>154</v>
      </c>
      <c r="I26" s="49"/>
      <c r="J26" s="51">
        <f>ROUNDUP(E26*0.75,2)</f>
        <v>0.19</v>
      </c>
      <c r="K26" s="51" t="s">
        <v>40</v>
      </c>
      <c r="L26" s="51"/>
      <c r="M26" s="74" t="e">
        <f>#REF!</f>
        <v>#REF!</v>
      </c>
      <c r="N26" s="62" t="s">
        <v>146</v>
      </c>
      <c r="O26" s="52"/>
      <c r="P26" s="49"/>
      <c r="Q26" s="53"/>
      <c r="R26" s="85"/>
    </row>
    <row r="27" spans="1:18" ht="23.1" customHeight="1" thickBot="1">
      <c r="A27" s="334"/>
      <c r="B27" s="63"/>
      <c r="C27" s="54"/>
      <c r="D27" s="55"/>
      <c r="E27" s="56"/>
      <c r="F27" s="57"/>
      <c r="G27" s="67"/>
      <c r="H27" s="71"/>
      <c r="I27" s="55"/>
      <c r="J27" s="57"/>
      <c r="K27" s="57"/>
      <c r="L27" s="57"/>
      <c r="M27" s="75"/>
      <c r="N27" s="63"/>
      <c r="O27" s="58"/>
      <c r="P27" s="55"/>
      <c r="Q27" s="59"/>
      <c r="R27" s="86"/>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260</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71</v>
      </c>
      <c r="C5" s="36" t="s">
        <v>63</v>
      </c>
      <c r="D5" s="37"/>
      <c r="E5" s="38">
        <v>30</v>
      </c>
      <c r="F5" s="39" t="s">
        <v>34</v>
      </c>
      <c r="G5" s="64" t="s">
        <v>58</v>
      </c>
      <c r="H5" s="68" t="s">
        <v>63</v>
      </c>
      <c r="I5" s="37"/>
      <c r="J5" s="39">
        <f>ROUNDUP(E5*0.75,2)</f>
        <v>22.5</v>
      </c>
      <c r="K5" s="39" t="s">
        <v>34</v>
      </c>
      <c r="L5" s="39" t="s">
        <v>58</v>
      </c>
      <c r="M5" s="72" t="e">
        <f>#REF!</f>
        <v>#REF!</v>
      </c>
      <c r="N5" s="60" t="s">
        <v>72</v>
      </c>
      <c r="O5" s="40" t="s">
        <v>13</v>
      </c>
      <c r="P5" s="37"/>
      <c r="Q5" s="41">
        <v>110</v>
      </c>
      <c r="R5" s="83">
        <f>ROUNDUP(Q5*0.75,2)</f>
        <v>82.5</v>
      </c>
    </row>
    <row r="6" spans="1:19" ht="24.95" customHeight="1">
      <c r="A6" s="333"/>
      <c r="B6" s="62"/>
      <c r="C6" s="48" t="s">
        <v>135</v>
      </c>
      <c r="D6" s="49"/>
      <c r="E6" s="50">
        <v>50</v>
      </c>
      <c r="F6" s="51" t="s">
        <v>34</v>
      </c>
      <c r="G6" s="66"/>
      <c r="H6" s="70" t="s">
        <v>135</v>
      </c>
      <c r="I6" s="49"/>
      <c r="J6" s="51">
        <f>ROUNDUP(E6*0.75,2)</f>
        <v>37.5</v>
      </c>
      <c r="K6" s="51" t="s">
        <v>34</v>
      </c>
      <c r="L6" s="51"/>
      <c r="M6" s="74" t="e">
        <f>ROUND(#REF!+(#REF!*6/100),2)</f>
        <v>#REF!</v>
      </c>
      <c r="N6" s="62" t="s">
        <v>73</v>
      </c>
      <c r="O6" s="52" t="s">
        <v>66</v>
      </c>
      <c r="P6" s="49"/>
      <c r="Q6" s="53">
        <v>0.5</v>
      </c>
      <c r="R6" s="85">
        <f>ROUNDUP(Q6*0.75,2)</f>
        <v>0.38</v>
      </c>
    </row>
    <row r="7" spans="1:19" ht="24.95" customHeight="1">
      <c r="A7" s="333"/>
      <c r="B7" s="62"/>
      <c r="C7" s="48" t="s">
        <v>78</v>
      </c>
      <c r="D7" s="49"/>
      <c r="E7" s="50">
        <v>50</v>
      </c>
      <c r="F7" s="51" t="s">
        <v>34</v>
      </c>
      <c r="G7" s="66"/>
      <c r="H7" s="70" t="s">
        <v>78</v>
      </c>
      <c r="I7" s="49"/>
      <c r="J7" s="51">
        <f>ROUNDUP(E7*0.75,2)</f>
        <v>37.5</v>
      </c>
      <c r="K7" s="51" t="s">
        <v>34</v>
      </c>
      <c r="L7" s="51"/>
      <c r="M7" s="74" t="e">
        <f>#REF!</f>
        <v>#REF!</v>
      </c>
      <c r="N7" s="62" t="s">
        <v>74</v>
      </c>
      <c r="O7" s="52" t="s">
        <v>24</v>
      </c>
      <c r="P7" s="49"/>
      <c r="Q7" s="53">
        <v>1</v>
      </c>
      <c r="R7" s="85">
        <f>ROUNDUP(Q7*0.75,2)</f>
        <v>0.75</v>
      </c>
    </row>
    <row r="8" spans="1:19" ht="24.95" customHeight="1">
      <c r="A8" s="333"/>
      <c r="B8" s="62"/>
      <c r="C8" s="48" t="s">
        <v>80</v>
      </c>
      <c r="D8" s="49" t="s">
        <v>81</v>
      </c>
      <c r="E8" s="50">
        <v>10</v>
      </c>
      <c r="F8" s="51" t="s">
        <v>34</v>
      </c>
      <c r="G8" s="66"/>
      <c r="H8" s="70" t="s">
        <v>80</v>
      </c>
      <c r="I8" s="49" t="s">
        <v>81</v>
      </c>
      <c r="J8" s="51">
        <f>ROUNDUP(E8*0.75,2)</f>
        <v>7.5</v>
      </c>
      <c r="K8" s="51" t="s">
        <v>34</v>
      </c>
      <c r="L8" s="51"/>
      <c r="M8" s="74" t="e">
        <f>#REF!</f>
        <v>#REF!</v>
      </c>
      <c r="N8" s="62" t="s">
        <v>75</v>
      </c>
      <c r="O8" s="52" t="s">
        <v>79</v>
      </c>
      <c r="P8" s="49"/>
      <c r="Q8" s="53">
        <v>30</v>
      </c>
      <c r="R8" s="85">
        <f>ROUNDUP(Q8*0.75,2)</f>
        <v>22.5</v>
      </c>
    </row>
    <row r="9" spans="1:19" ht="24.95" customHeight="1">
      <c r="A9" s="333"/>
      <c r="B9" s="62"/>
      <c r="C9" s="48" t="s">
        <v>65</v>
      </c>
      <c r="D9" s="49"/>
      <c r="E9" s="50">
        <v>5</v>
      </c>
      <c r="F9" s="51" t="s">
        <v>34</v>
      </c>
      <c r="G9" s="66" t="s">
        <v>33</v>
      </c>
      <c r="H9" s="70" t="s">
        <v>65</v>
      </c>
      <c r="I9" s="49"/>
      <c r="J9" s="51">
        <f>ROUNDUP(E9*0.75,2)</f>
        <v>3.75</v>
      </c>
      <c r="K9" s="51" t="s">
        <v>34</v>
      </c>
      <c r="L9" s="51" t="s">
        <v>33</v>
      </c>
      <c r="M9" s="74" t="e">
        <f>#REF!</f>
        <v>#REF!</v>
      </c>
      <c r="N9" s="62" t="s">
        <v>76</v>
      </c>
      <c r="O9" s="52" t="s">
        <v>27</v>
      </c>
      <c r="P9" s="49"/>
      <c r="Q9" s="53">
        <v>1</v>
      </c>
      <c r="R9" s="85">
        <f>ROUNDUP(Q9*0.75,2)</f>
        <v>0.75</v>
      </c>
    </row>
    <row r="10" spans="1:19" ht="24.95" customHeight="1">
      <c r="A10" s="333"/>
      <c r="B10" s="62"/>
      <c r="C10" s="48"/>
      <c r="D10" s="49"/>
      <c r="E10" s="50"/>
      <c r="F10" s="51"/>
      <c r="G10" s="66"/>
      <c r="H10" s="70"/>
      <c r="I10" s="49"/>
      <c r="J10" s="51"/>
      <c r="K10" s="51"/>
      <c r="L10" s="51"/>
      <c r="M10" s="74"/>
      <c r="N10" s="62" t="s">
        <v>77</v>
      </c>
      <c r="O10" s="52"/>
      <c r="P10" s="49"/>
      <c r="Q10" s="53"/>
      <c r="R10" s="85"/>
    </row>
    <row r="11" spans="1:19" ht="24.95" customHeight="1">
      <c r="A11" s="333"/>
      <c r="B11" s="62"/>
      <c r="C11" s="48"/>
      <c r="D11" s="49"/>
      <c r="E11" s="50"/>
      <c r="F11" s="51"/>
      <c r="G11" s="66"/>
      <c r="H11" s="70"/>
      <c r="I11" s="49"/>
      <c r="J11" s="51"/>
      <c r="K11" s="51"/>
      <c r="L11" s="51"/>
      <c r="M11" s="74"/>
      <c r="N11" s="62"/>
      <c r="O11" s="52"/>
      <c r="P11" s="49"/>
      <c r="Q11" s="53"/>
      <c r="R11" s="85"/>
    </row>
    <row r="12" spans="1:19" ht="24.95" customHeight="1">
      <c r="A12" s="333"/>
      <c r="B12" s="61"/>
      <c r="C12" s="42"/>
      <c r="D12" s="43"/>
      <c r="E12" s="44"/>
      <c r="F12" s="45"/>
      <c r="G12" s="65"/>
      <c r="H12" s="69"/>
      <c r="I12" s="43"/>
      <c r="J12" s="45"/>
      <c r="K12" s="45"/>
      <c r="L12" s="45"/>
      <c r="M12" s="73"/>
      <c r="N12" s="61"/>
      <c r="O12" s="46"/>
      <c r="P12" s="43"/>
      <c r="Q12" s="47"/>
      <c r="R12" s="84"/>
    </row>
    <row r="13" spans="1:19" ht="24.95" customHeight="1">
      <c r="A13" s="333"/>
      <c r="B13" s="62" t="s">
        <v>83</v>
      </c>
      <c r="C13" s="48" t="s">
        <v>87</v>
      </c>
      <c r="D13" s="49" t="s">
        <v>23</v>
      </c>
      <c r="E13" s="50">
        <v>10</v>
      </c>
      <c r="F13" s="51" t="s">
        <v>34</v>
      </c>
      <c r="G13" s="66"/>
      <c r="H13" s="70" t="s">
        <v>87</v>
      </c>
      <c r="I13" s="49" t="s">
        <v>23</v>
      </c>
      <c r="J13" s="51">
        <f>ROUNDUP(E13*0.75,2)</f>
        <v>7.5</v>
      </c>
      <c r="K13" s="51" t="s">
        <v>34</v>
      </c>
      <c r="L13" s="51"/>
      <c r="M13" s="74" t="e">
        <f>#REF!</f>
        <v>#REF!</v>
      </c>
      <c r="N13" s="62" t="s">
        <v>84</v>
      </c>
      <c r="O13" s="52" t="s">
        <v>27</v>
      </c>
      <c r="P13" s="49"/>
      <c r="Q13" s="53">
        <v>0.3</v>
      </c>
      <c r="R13" s="85">
        <f>ROUNDUP(Q13*0.75,2)</f>
        <v>0.23</v>
      </c>
    </row>
    <row r="14" spans="1:19" ht="24.95" customHeight="1">
      <c r="A14" s="333"/>
      <c r="B14" s="62"/>
      <c r="C14" s="48" t="s">
        <v>237</v>
      </c>
      <c r="D14" s="49"/>
      <c r="E14" s="50">
        <v>20</v>
      </c>
      <c r="F14" s="51" t="s">
        <v>34</v>
      </c>
      <c r="G14" s="66"/>
      <c r="H14" s="70" t="s">
        <v>237</v>
      </c>
      <c r="I14" s="49"/>
      <c r="J14" s="51">
        <f>ROUNDUP(E14*0.75,2)</f>
        <v>15</v>
      </c>
      <c r="K14" s="51" t="s">
        <v>34</v>
      </c>
      <c r="L14" s="51"/>
      <c r="M14" s="74" t="e">
        <f>ROUND(#REF!+(#REF!*50/100),2)</f>
        <v>#REF!</v>
      </c>
      <c r="N14" s="62" t="s">
        <v>85</v>
      </c>
      <c r="O14" s="52" t="s">
        <v>45</v>
      </c>
      <c r="P14" s="49"/>
      <c r="Q14" s="53">
        <v>0.1</v>
      </c>
      <c r="R14" s="85">
        <f>ROUNDUP(Q14*0.75,2)</f>
        <v>0.08</v>
      </c>
    </row>
    <row r="15" spans="1:19" ht="24.95" customHeight="1">
      <c r="A15" s="333"/>
      <c r="B15" s="62"/>
      <c r="C15" s="48" t="s">
        <v>137</v>
      </c>
      <c r="D15" s="49"/>
      <c r="E15" s="50">
        <v>5</v>
      </c>
      <c r="F15" s="51" t="s">
        <v>34</v>
      </c>
      <c r="G15" s="66"/>
      <c r="H15" s="70" t="s">
        <v>137</v>
      </c>
      <c r="I15" s="49"/>
      <c r="J15" s="51">
        <f>ROUNDUP(E15*0.75,2)</f>
        <v>3.75</v>
      </c>
      <c r="K15" s="51" t="s">
        <v>34</v>
      </c>
      <c r="L15" s="51"/>
      <c r="M15" s="74" t="e">
        <f>ROUND(#REF!+(#REF!*10/100),2)</f>
        <v>#REF!</v>
      </c>
      <c r="N15" s="62" t="s">
        <v>86</v>
      </c>
      <c r="O15" s="52" t="s">
        <v>30</v>
      </c>
      <c r="P15" s="49" t="s">
        <v>31</v>
      </c>
      <c r="Q15" s="53">
        <v>4</v>
      </c>
      <c r="R15" s="85">
        <f>ROUNDUP(Q15*0.75,2)</f>
        <v>3</v>
      </c>
    </row>
    <row r="16" spans="1:19" ht="24.95" customHeight="1">
      <c r="A16" s="333"/>
      <c r="B16" s="62"/>
      <c r="C16" s="48"/>
      <c r="D16" s="49"/>
      <c r="E16" s="50"/>
      <c r="F16" s="51"/>
      <c r="G16" s="66"/>
      <c r="H16" s="70"/>
      <c r="I16" s="49"/>
      <c r="J16" s="51"/>
      <c r="K16" s="51"/>
      <c r="L16" s="51"/>
      <c r="M16" s="74"/>
      <c r="N16" s="62" t="s">
        <v>18</v>
      </c>
      <c r="O16" s="52"/>
      <c r="P16" s="49"/>
      <c r="Q16" s="53"/>
      <c r="R16" s="85"/>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238</v>
      </c>
      <c r="C18" s="48" t="s">
        <v>239</v>
      </c>
      <c r="D18" s="49"/>
      <c r="E18" s="76">
        <v>0.25</v>
      </c>
      <c r="F18" s="51" t="s">
        <v>234</v>
      </c>
      <c r="G18" s="66"/>
      <c r="H18" s="70" t="s">
        <v>239</v>
      </c>
      <c r="I18" s="49"/>
      <c r="J18" s="51">
        <f>ROUNDUP(E18*0.75,2)</f>
        <v>0.19</v>
      </c>
      <c r="K18" s="51" t="s">
        <v>234</v>
      </c>
      <c r="L18" s="51"/>
      <c r="M18" s="74" t="e">
        <f>#REF!</f>
        <v>#REF!</v>
      </c>
      <c r="N18" s="62" t="s">
        <v>146</v>
      </c>
      <c r="O18" s="52"/>
      <c r="P18" s="49"/>
      <c r="Q18" s="53"/>
      <c r="R18" s="85"/>
    </row>
    <row r="19" spans="1:18" ht="24.95" customHeight="1" thickBot="1">
      <c r="A19" s="334"/>
      <c r="B19" s="63"/>
      <c r="C19" s="54"/>
      <c r="D19" s="55"/>
      <c r="E19" s="56"/>
      <c r="F19" s="57"/>
      <c r="G19" s="67"/>
      <c r="H19" s="71"/>
      <c r="I19" s="55"/>
      <c r="J19" s="57"/>
      <c r="K19" s="57"/>
      <c r="L19" s="57"/>
      <c r="M19" s="75"/>
      <c r="N19" s="63"/>
      <c r="O19" s="58"/>
      <c r="P19" s="55"/>
      <c r="Q19" s="59"/>
      <c r="R19" s="86"/>
    </row>
  </sheetData>
  <mergeCells count="4">
    <mergeCell ref="H1:N1"/>
    <mergeCell ref="A2:R2"/>
    <mergeCell ref="A3:F3"/>
    <mergeCell ref="A5:A19"/>
  </mergeCells>
  <phoneticPr fontId="17"/>
  <printOptions horizontalCentered="1" verticalCentered="1"/>
  <pageMargins left="0.39370078740157483" right="0.39370078740157483" top="0.39370078740157483" bottom="0.39370078740157483" header="0.39370078740157483" footer="0.39370078740157483"/>
  <pageSetup paperSize="12"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116</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291</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105</v>
      </c>
      <c r="C5" s="36" t="s">
        <v>106</v>
      </c>
      <c r="D5" s="37" t="s">
        <v>117</v>
      </c>
      <c r="E5" s="80">
        <v>0.5</v>
      </c>
      <c r="F5" s="39" t="s">
        <v>90</v>
      </c>
      <c r="G5" s="64" t="s">
        <v>53</v>
      </c>
      <c r="H5" s="68" t="s">
        <v>106</v>
      </c>
      <c r="I5" s="37" t="s">
        <v>107</v>
      </c>
      <c r="J5" s="39">
        <f>ROUNDUP(E5*0.75,2)</f>
        <v>0.38</v>
      </c>
      <c r="K5" s="39" t="s">
        <v>90</v>
      </c>
      <c r="L5" s="39" t="s">
        <v>53</v>
      </c>
      <c r="M5" s="72" t="e">
        <f>#REF!</f>
        <v>#REF!</v>
      </c>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118</v>
      </c>
      <c r="C7" s="48" t="s">
        <v>122</v>
      </c>
      <c r="D7" s="49"/>
      <c r="E7" s="50">
        <v>1</v>
      </c>
      <c r="F7" s="51" t="s">
        <v>21</v>
      </c>
      <c r="G7" s="66" t="s">
        <v>123</v>
      </c>
      <c r="H7" s="70" t="s">
        <v>122</v>
      </c>
      <c r="I7" s="49"/>
      <c r="J7" s="51">
        <f>ROUNDUP(E7*0.75,2)</f>
        <v>0.75</v>
      </c>
      <c r="K7" s="51" t="s">
        <v>21</v>
      </c>
      <c r="L7" s="51" t="s">
        <v>123</v>
      </c>
      <c r="M7" s="74" t="e">
        <f>#REF!</f>
        <v>#REF!</v>
      </c>
      <c r="N7" s="62" t="s">
        <v>119</v>
      </c>
      <c r="O7" s="52" t="s">
        <v>114</v>
      </c>
      <c r="P7" s="49"/>
      <c r="Q7" s="53">
        <v>3</v>
      </c>
      <c r="R7" s="85">
        <f t="shared" ref="R7:R12" si="0">ROUNDUP(Q7*0.75,2)</f>
        <v>2.25</v>
      </c>
    </row>
    <row r="8" spans="1:19" ht="24.95" customHeight="1">
      <c r="A8" s="333"/>
      <c r="B8" s="62"/>
      <c r="C8" s="48" t="s">
        <v>41</v>
      </c>
      <c r="D8" s="49"/>
      <c r="E8" s="50">
        <v>10</v>
      </c>
      <c r="F8" s="51" t="s">
        <v>34</v>
      </c>
      <c r="G8" s="66" t="s">
        <v>33</v>
      </c>
      <c r="H8" s="70" t="s">
        <v>41</v>
      </c>
      <c r="I8" s="49"/>
      <c r="J8" s="51">
        <f>ROUNDUP(E8*0.75,2)</f>
        <v>7.5</v>
      </c>
      <c r="K8" s="51" t="s">
        <v>34</v>
      </c>
      <c r="L8" s="51" t="s">
        <v>33</v>
      </c>
      <c r="M8" s="74" t="e">
        <f>#REF!</f>
        <v>#REF!</v>
      </c>
      <c r="N8" s="62" t="s">
        <v>120</v>
      </c>
      <c r="O8" s="52" t="s">
        <v>24</v>
      </c>
      <c r="P8" s="49"/>
      <c r="Q8" s="53">
        <v>2</v>
      </c>
      <c r="R8" s="85">
        <f t="shared" si="0"/>
        <v>1.5</v>
      </c>
    </row>
    <row r="9" spans="1:19" ht="24.95" customHeight="1">
      <c r="A9" s="333"/>
      <c r="B9" s="62"/>
      <c r="C9" s="48" t="s">
        <v>64</v>
      </c>
      <c r="D9" s="49"/>
      <c r="E9" s="50">
        <v>5</v>
      </c>
      <c r="F9" s="51" t="s">
        <v>34</v>
      </c>
      <c r="G9" s="66"/>
      <c r="H9" s="70" t="s">
        <v>64</v>
      </c>
      <c r="I9" s="49"/>
      <c r="J9" s="51">
        <f>ROUNDUP(E9*0.75,2)</f>
        <v>3.75</v>
      </c>
      <c r="K9" s="51" t="s">
        <v>34</v>
      </c>
      <c r="L9" s="51"/>
      <c r="M9" s="74" t="e">
        <f>#REF!</f>
        <v>#REF!</v>
      </c>
      <c r="N9" s="62" t="s">
        <v>121</v>
      </c>
      <c r="O9" s="52" t="s">
        <v>36</v>
      </c>
      <c r="P9" s="49"/>
      <c r="Q9" s="53">
        <v>40</v>
      </c>
      <c r="R9" s="85">
        <f t="shared" si="0"/>
        <v>30</v>
      </c>
    </row>
    <row r="10" spans="1:19" ht="24.95" customHeight="1">
      <c r="A10" s="333"/>
      <c r="B10" s="62"/>
      <c r="C10" s="48" t="s">
        <v>43</v>
      </c>
      <c r="D10" s="49"/>
      <c r="E10" s="50">
        <v>3</v>
      </c>
      <c r="F10" s="51" t="s">
        <v>34</v>
      </c>
      <c r="G10" s="66" t="s">
        <v>33</v>
      </c>
      <c r="H10" s="70" t="s">
        <v>43</v>
      </c>
      <c r="I10" s="49"/>
      <c r="J10" s="51">
        <f>ROUNDUP(E10*0.75,2)</f>
        <v>2.25</v>
      </c>
      <c r="K10" s="51" t="s">
        <v>34</v>
      </c>
      <c r="L10" s="51" t="s">
        <v>33</v>
      </c>
      <c r="M10" s="74" t="e">
        <f>#REF!</f>
        <v>#REF!</v>
      </c>
      <c r="N10" s="62" t="s">
        <v>270</v>
      </c>
      <c r="O10" s="52" t="s">
        <v>28</v>
      </c>
      <c r="P10" s="49"/>
      <c r="Q10" s="53">
        <v>2</v>
      </c>
      <c r="R10" s="85">
        <f t="shared" si="0"/>
        <v>1.5</v>
      </c>
    </row>
    <row r="11" spans="1:19" ht="24.95" customHeight="1">
      <c r="A11" s="333"/>
      <c r="B11" s="62"/>
      <c r="C11" s="48"/>
      <c r="D11" s="49"/>
      <c r="E11" s="50"/>
      <c r="F11" s="51"/>
      <c r="G11" s="66"/>
      <c r="H11" s="70"/>
      <c r="I11" s="49"/>
      <c r="J11" s="51"/>
      <c r="K11" s="51"/>
      <c r="L11" s="51"/>
      <c r="M11" s="74"/>
      <c r="N11" s="62" t="s">
        <v>18</v>
      </c>
      <c r="O11" s="52" t="s">
        <v>35</v>
      </c>
      <c r="P11" s="49" t="s">
        <v>23</v>
      </c>
      <c r="Q11" s="53">
        <v>1.5</v>
      </c>
      <c r="R11" s="85">
        <f t="shared" si="0"/>
        <v>1.1300000000000001</v>
      </c>
    </row>
    <row r="12" spans="1:19" ht="24.95" customHeight="1">
      <c r="A12" s="333"/>
      <c r="B12" s="62"/>
      <c r="C12" s="48"/>
      <c r="D12" s="49"/>
      <c r="E12" s="50"/>
      <c r="F12" s="51"/>
      <c r="G12" s="66"/>
      <c r="H12" s="70"/>
      <c r="I12" s="49"/>
      <c r="J12" s="51"/>
      <c r="K12" s="51"/>
      <c r="L12" s="51"/>
      <c r="M12" s="74"/>
      <c r="N12" s="62"/>
      <c r="O12" s="52" t="s">
        <v>114</v>
      </c>
      <c r="P12" s="49"/>
      <c r="Q12" s="53">
        <v>1</v>
      </c>
      <c r="R12" s="85">
        <f t="shared" si="0"/>
        <v>0.75</v>
      </c>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124</v>
      </c>
      <c r="C14" s="48" t="s">
        <v>68</v>
      </c>
      <c r="D14" s="49"/>
      <c r="E14" s="50">
        <v>50</v>
      </c>
      <c r="F14" s="51" t="s">
        <v>34</v>
      </c>
      <c r="G14" s="66" t="s">
        <v>33</v>
      </c>
      <c r="H14" s="70" t="s">
        <v>68</v>
      </c>
      <c r="I14" s="49"/>
      <c r="J14" s="51">
        <f>ROUNDUP(E14*0.75,2)</f>
        <v>37.5</v>
      </c>
      <c r="K14" s="51" t="s">
        <v>34</v>
      </c>
      <c r="L14" s="51" t="s">
        <v>33</v>
      </c>
      <c r="M14" s="74" t="e">
        <f>#REF!</f>
        <v>#REF!</v>
      </c>
      <c r="N14" s="62" t="s">
        <v>67</v>
      </c>
      <c r="O14" s="52" t="s">
        <v>79</v>
      </c>
      <c r="P14" s="49"/>
      <c r="Q14" s="53">
        <v>20</v>
      </c>
      <c r="R14" s="85">
        <f>ROUNDUP(Q14*0.75,2)</f>
        <v>15</v>
      </c>
    </row>
    <row r="15" spans="1:19" ht="24.95" customHeight="1">
      <c r="A15" s="333"/>
      <c r="B15" s="62"/>
      <c r="C15" s="48"/>
      <c r="D15" s="49"/>
      <c r="E15" s="50"/>
      <c r="F15" s="51"/>
      <c r="G15" s="66"/>
      <c r="H15" s="70"/>
      <c r="I15" s="49"/>
      <c r="J15" s="51"/>
      <c r="K15" s="51"/>
      <c r="L15" s="51"/>
      <c r="M15" s="74"/>
      <c r="N15" s="62" t="s">
        <v>125</v>
      </c>
      <c r="O15" s="52" t="s">
        <v>45</v>
      </c>
      <c r="P15" s="49"/>
      <c r="Q15" s="53">
        <v>0.1</v>
      </c>
      <c r="R15" s="85">
        <f>ROUNDUP(Q15*0.75,2)</f>
        <v>0.08</v>
      </c>
    </row>
    <row r="16" spans="1:19" ht="24.95" customHeight="1">
      <c r="A16" s="333"/>
      <c r="B16" s="62"/>
      <c r="C16" s="48"/>
      <c r="D16" s="49"/>
      <c r="E16" s="50"/>
      <c r="F16" s="51"/>
      <c r="G16" s="66"/>
      <c r="H16" s="70"/>
      <c r="I16" s="49"/>
      <c r="J16" s="51"/>
      <c r="K16" s="51"/>
      <c r="L16" s="51"/>
      <c r="M16" s="74"/>
      <c r="N16" s="62" t="s">
        <v>126</v>
      </c>
      <c r="O16" s="52" t="s">
        <v>27</v>
      </c>
      <c r="P16" s="49"/>
      <c r="Q16" s="53">
        <v>1</v>
      </c>
      <c r="R16" s="85">
        <f>ROUNDUP(Q16*0.75,2)</f>
        <v>0.75</v>
      </c>
    </row>
    <row r="17" spans="1:18" ht="24.95" customHeight="1">
      <c r="A17" s="333"/>
      <c r="B17" s="62"/>
      <c r="C17" s="48"/>
      <c r="D17" s="49"/>
      <c r="E17" s="50"/>
      <c r="F17" s="51"/>
      <c r="G17" s="66"/>
      <c r="H17" s="70"/>
      <c r="I17" s="49"/>
      <c r="J17" s="51"/>
      <c r="K17" s="51"/>
      <c r="L17" s="51"/>
      <c r="M17" s="74"/>
      <c r="N17" s="62" t="s">
        <v>127</v>
      </c>
      <c r="O17" s="52" t="s">
        <v>25</v>
      </c>
      <c r="P17" s="49" t="s">
        <v>26</v>
      </c>
      <c r="Q17" s="53">
        <v>1</v>
      </c>
      <c r="R17" s="85">
        <f>ROUNDUP(Q17*0.75,2)</f>
        <v>0.75</v>
      </c>
    </row>
    <row r="18" spans="1:18" ht="24.95" customHeight="1">
      <c r="A18" s="333"/>
      <c r="B18" s="62"/>
      <c r="C18" s="48"/>
      <c r="D18" s="49"/>
      <c r="E18" s="50"/>
      <c r="F18" s="51"/>
      <c r="G18" s="66"/>
      <c r="H18" s="70"/>
      <c r="I18" s="49"/>
      <c r="J18" s="51"/>
      <c r="K18" s="51"/>
      <c r="L18" s="51"/>
      <c r="M18" s="74"/>
      <c r="N18" s="62" t="s">
        <v>77</v>
      </c>
      <c r="O18" s="52"/>
      <c r="P18" s="49"/>
      <c r="Q18" s="53"/>
      <c r="R18" s="85"/>
    </row>
    <row r="19" spans="1:18" ht="24.95" customHeight="1">
      <c r="A19" s="333"/>
      <c r="B19" s="62"/>
      <c r="C19" s="48"/>
      <c r="D19" s="49"/>
      <c r="E19" s="50"/>
      <c r="F19" s="51"/>
      <c r="G19" s="66"/>
      <c r="H19" s="70"/>
      <c r="I19" s="49"/>
      <c r="J19" s="51"/>
      <c r="K19" s="51"/>
      <c r="L19" s="51"/>
      <c r="M19" s="74"/>
      <c r="N19" s="62"/>
      <c r="O19" s="52"/>
      <c r="P19" s="49"/>
      <c r="Q19" s="53"/>
      <c r="R19" s="85"/>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69</v>
      </c>
      <c r="C21" s="48" t="s">
        <v>110</v>
      </c>
      <c r="D21" s="49" t="s">
        <v>23</v>
      </c>
      <c r="E21" s="78">
        <v>0.1</v>
      </c>
      <c r="F21" s="51" t="s">
        <v>90</v>
      </c>
      <c r="G21" s="66" t="s">
        <v>111</v>
      </c>
      <c r="H21" s="70" t="s">
        <v>110</v>
      </c>
      <c r="I21" s="49" t="s">
        <v>23</v>
      </c>
      <c r="J21" s="51">
        <f>ROUNDUP(E21*0.75,2)</f>
        <v>0.08</v>
      </c>
      <c r="K21" s="51" t="s">
        <v>90</v>
      </c>
      <c r="L21" s="51" t="s">
        <v>111</v>
      </c>
      <c r="M21" s="74" t="e">
        <f>#REF!</f>
        <v>#REF!</v>
      </c>
      <c r="N21" s="62" t="s">
        <v>18</v>
      </c>
      <c r="O21" s="52" t="s">
        <v>36</v>
      </c>
      <c r="P21" s="49"/>
      <c r="Q21" s="53">
        <v>100</v>
      </c>
      <c r="R21" s="85">
        <f>ROUNDUP(Q21*0.75,2)</f>
        <v>75</v>
      </c>
    </row>
    <row r="22" spans="1:18" ht="24.95" customHeight="1">
      <c r="A22" s="333"/>
      <c r="B22" s="62"/>
      <c r="C22" s="48" t="s">
        <v>128</v>
      </c>
      <c r="D22" s="49" t="s">
        <v>129</v>
      </c>
      <c r="E22" s="76">
        <v>0.25</v>
      </c>
      <c r="F22" s="51" t="s">
        <v>40</v>
      </c>
      <c r="G22" s="66"/>
      <c r="H22" s="70" t="s">
        <v>128</v>
      </c>
      <c r="I22" s="49" t="s">
        <v>129</v>
      </c>
      <c r="J22" s="51">
        <f>ROUNDUP(E22*0.75,2)</f>
        <v>0.19</v>
      </c>
      <c r="K22" s="51" t="s">
        <v>40</v>
      </c>
      <c r="L22" s="51"/>
      <c r="M22" s="74" t="e">
        <f>#REF!</f>
        <v>#REF!</v>
      </c>
      <c r="N22" s="62"/>
      <c r="O22" s="52" t="s">
        <v>29</v>
      </c>
      <c r="P22" s="49"/>
      <c r="Q22" s="53">
        <v>3</v>
      </c>
      <c r="R22" s="85">
        <f>ROUNDUP(Q22*0.75,2)</f>
        <v>2.25</v>
      </c>
    </row>
    <row r="23" spans="1:18" ht="24.95" customHeight="1">
      <c r="A23" s="333"/>
      <c r="B23" s="61"/>
      <c r="C23" s="42"/>
      <c r="D23" s="43"/>
      <c r="E23" s="44"/>
      <c r="F23" s="45"/>
      <c r="G23" s="65"/>
      <c r="H23" s="69"/>
      <c r="I23" s="43"/>
      <c r="J23" s="45"/>
      <c r="K23" s="45"/>
      <c r="L23" s="45"/>
      <c r="M23" s="73"/>
      <c r="N23" s="61"/>
      <c r="O23" s="46"/>
      <c r="P23" s="43"/>
      <c r="Q23" s="47"/>
      <c r="R23" s="84"/>
    </row>
    <row r="24" spans="1:18" ht="24.95" customHeight="1">
      <c r="A24" s="333"/>
      <c r="B24" s="62" t="s">
        <v>130</v>
      </c>
      <c r="C24" s="48" t="s">
        <v>131</v>
      </c>
      <c r="D24" s="49"/>
      <c r="E24" s="50">
        <v>25</v>
      </c>
      <c r="F24" s="51" t="s">
        <v>34</v>
      </c>
      <c r="G24" s="66" t="s">
        <v>33</v>
      </c>
      <c r="H24" s="70" t="s">
        <v>131</v>
      </c>
      <c r="I24" s="49"/>
      <c r="J24" s="51">
        <f>ROUNDUP(E24*0.75,2)</f>
        <v>18.75</v>
      </c>
      <c r="K24" s="51" t="s">
        <v>34</v>
      </c>
      <c r="L24" s="51" t="s">
        <v>33</v>
      </c>
      <c r="M24" s="74" t="e">
        <f>#REF!</f>
        <v>#REF!</v>
      </c>
      <c r="N24" s="62"/>
      <c r="O24" s="52"/>
      <c r="P24" s="49"/>
      <c r="Q24" s="53"/>
      <c r="R24" s="85"/>
    </row>
    <row r="25" spans="1:18" ht="24.95" customHeight="1" thickBot="1">
      <c r="A25" s="334"/>
      <c r="B25" s="63"/>
      <c r="C25" s="54"/>
      <c r="D25" s="55"/>
      <c r="E25" s="56"/>
      <c r="F25" s="57"/>
      <c r="G25" s="67"/>
      <c r="H25" s="71"/>
      <c r="I25" s="55"/>
      <c r="J25" s="57"/>
      <c r="K25" s="57"/>
      <c r="L25" s="57"/>
      <c r="M25" s="75"/>
      <c r="N25" s="63"/>
      <c r="O25" s="58"/>
      <c r="P25" s="55"/>
      <c r="Q25" s="59"/>
      <c r="R25" s="86"/>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132</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133</v>
      </c>
      <c r="C7" s="48" t="s">
        <v>134</v>
      </c>
      <c r="D7" s="49"/>
      <c r="E7" s="50">
        <v>30</v>
      </c>
      <c r="F7" s="51" t="s">
        <v>34</v>
      </c>
      <c r="G7" s="66" t="s">
        <v>58</v>
      </c>
      <c r="H7" s="70" t="s">
        <v>134</v>
      </c>
      <c r="I7" s="49"/>
      <c r="J7" s="51">
        <f t="shared" ref="J7:J13" si="0">ROUNDUP(E7*0.75,2)</f>
        <v>22.5</v>
      </c>
      <c r="K7" s="51" t="s">
        <v>34</v>
      </c>
      <c r="L7" s="51" t="s">
        <v>58</v>
      </c>
      <c r="M7" s="74" t="e">
        <f>#REF!</f>
        <v>#REF!</v>
      </c>
      <c r="N7" s="62" t="s">
        <v>271</v>
      </c>
      <c r="O7" s="52" t="s">
        <v>24</v>
      </c>
      <c r="P7" s="49"/>
      <c r="Q7" s="53">
        <v>1</v>
      </c>
      <c r="R7" s="85">
        <f>ROUNDUP(Q7*0.75,2)</f>
        <v>0.75</v>
      </c>
    </row>
    <row r="8" spans="1:19" ht="24.95" customHeight="1">
      <c r="A8" s="333"/>
      <c r="B8" s="62"/>
      <c r="C8" s="48" t="s">
        <v>135</v>
      </c>
      <c r="D8" s="49"/>
      <c r="E8" s="50">
        <v>30</v>
      </c>
      <c r="F8" s="51" t="s">
        <v>34</v>
      </c>
      <c r="G8" s="66"/>
      <c r="H8" s="70" t="s">
        <v>135</v>
      </c>
      <c r="I8" s="49"/>
      <c r="J8" s="51">
        <f t="shared" si="0"/>
        <v>22.5</v>
      </c>
      <c r="K8" s="51" t="s">
        <v>34</v>
      </c>
      <c r="L8" s="51"/>
      <c r="M8" s="74" t="e">
        <f>ROUND(#REF!+(#REF!*6/100),2)</f>
        <v>#REF!</v>
      </c>
      <c r="N8" s="62" t="s">
        <v>272</v>
      </c>
      <c r="O8" s="52" t="s">
        <v>79</v>
      </c>
      <c r="P8" s="49"/>
      <c r="Q8" s="53">
        <v>50</v>
      </c>
      <c r="R8" s="85">
        <f>ROUNDUP(Q8*0.75,2)</f>
        <v>37.5</v>
      </c>
    </row>
    <row r="9" spans="1:19" ht="24.95" customHeight="1">
      <c r="A9" s="333"/>
      <c r="B9" s="62"/>
      <c r="C9" s="48" t="s">
        <v>136</v>
      </c>
      <c r="D9" s="49"/>
      <c r="E9" s="50">
        <v>20</v>
      </c>
      <c r="F9" s="51" t="s">
        <v>34</v>
      </c>
      <c r="G9" s="66"/>
      <c r="H9" s="70" t="s">
        <v>136</v>
      </c>
      <c r="I9" s="49"/>
      <c r="J9" s="51">
        <f t="shared" si="0"/>
        <v>15</v>
      </c>
      <c r="K9" s="51" t="s">
        <v>34</v>
      </c>
      <c r="L9" s="51"/>
      <c r="M9" s="74" t="e">
        <f>ROUND(#REF!+(#REF!*15/100),2)</f>
        <v>#REF!</v>
      </c>
      <c r="N9" s="62" t="s">
        <v>262</v>
      </c>
      <c r="O9" s="52"/>
      <c r="P9" s="49"/>
      <c r="Q9" s="53"/>
      <c r="R9" s="85"/>
    </row>
    <row r="10" spans="1:19" ht="24.95" customHeight="1">
      <c r="A10" s="333"/>
      <c r="B10" s="62"/>
      <c r="C10" s="48" t="s">
        <v>137</v>
      </c>
      <c r="D10" s="49"/>
      <c r="E10" s="50">
        <v>5</v>
      </c>
      <c r="F10" s="51" t="s">
        <v>34</v>
      </c>
      <c r="G10" s="66"/>
      <c r="H10" s="70" t="s">
        <v>137</v>
      </c>
      <c r="I10" s="49"/>
      <c r="J10" s="51">
        <f t="shared" si="0"/>
        <v>3.75</v>
      </c>
      <c r="K10" s="51" t="s">
        <v>34</v>
      </c>
      <c r="L10" s="51"/>
      <c r="M10" s="74" t="e">
        <f>ROUND(#REF!+(#REF!*10/100),2)</f>
        <v>#REF!</v>
      </c>
      <c r="N10" s="62" t="s">
        <v>263</v>
      </c>
      <c r="O10" s="52"/>
      <c r="P10" s="49"/>
      <c r="Q10" s="53"/>
      <c r="R10" s="85"/>
    </row>
    <row r="11" spans="1:19" ht="24.95" customHeight="1">
      <c r="A11" s="333"/>
      <c r="B11" s="62"/>
      <c r="C11" s="48" t="s">
        <v>138</v>
      </c>
      <c r="D11" s="49"/>
      <c r="E11" s="50">
        <v>10</v>
      </c>
      <c r="F11" s="51" t="s">
        <v>34</v>
      </c>
      <c r="G11" s="66"/>
      <c r="H11" s="70" t="s">
        <v>138</v>
      </c>
      <c r="I11" s="49"/>
      <c r="J11" s="51">
        <f t="shared" si="0"/>
        <v>7.5</v>
      </c>
      <c r="K11" s="51" t="s">
        <v>34</v>
      </c>
      <c r="L11" s="51"/>
      <c r="M11" s="74" t="e">
        <f>ROUND(#REF!+(#REF!*10/100),2)</f>
        <v>#REF!</v>
      </c>
      <c r="N11" s="62" t="s">
        <v>18</v>
      </c>
      <c r="O11" s="52"/>
      <c r="P11" s="49"/>
      <c r="Q11" s="53"/>
      <c r="R11" s="85"/>
    </row>
    <row r="12" spans="1:19" ht="24.95" customHeight="1">
      <c r="A12" s="333"/>
      <c r="B12" s="62"/>
      <c r="C12" s="48" t="s">
        <v>139</v>
      </c>
      <c r="D12" s="49" t="s">
        <v>140</v>
      </c>
      <c r="E12" s="50">
        <v>10</v>
      </c>
      <c r="F12" s="51" t="s">
        <v>34</v>
      </c>
      <c r="G12" s="66"/>
      <c r="H12" s="70" t="s">
        <v>139</v>
      </c>
      <c r="I12" s="49" t="s">
        <v>140</v>
      </c>
      <c r="J12" s="51">
        <f t="shared" si="0"/>
        <v>7.5</v>
      </c>
      <c r="K12" s="51" t="s">
        <v>34</v>
      </c>
      <c r="L12" s="51"/>
      <c r="M12" s="74" t="e">
        <f>#REF!</f>
        <v>#REF!</v>
      </c>
      <c r="N12" s="62"/>
      <c r="O12" s="52"/>
      <c r="P12" s="49"/>
      <c r="Q12" s="53"/>
      <c r="R12" s="85"/>
    </row>
    <row r="13" spans="1:19" ht="24.95" customHeight="1">
      <c r="A13" s="333"/>
      <c r="B13" s="62"/>
      <c r="C13" s="48" t="s">
        <v>52</v>
      </c>
      <c r="D13" s="49" t="s">
        <v>26</v>
      </c>
      <c r="E13" s="50">
        <v>40</v>
      </c>
      <c r="F13" s="51" t="s">
        <v>54</v>
      </c>
      <c r="G13" s="66" t="s">
        <v>53</v>
      </c>
      <c r="H13" s="70" t="s">
        <v>52</v>
      </c>
      <c r="I13" s="49" t="s">
        <v>26</v>
      </c>
      <c r="J13" s="51">
        <f t="shared" si="0"/>
        <v>30</v>
      </c>
      <c r="K13" s="51" t="s">
        <v>54</v>
      </c>
      <c r="L13" s="51" t="s">
        <v>53</v>
      </c>
      <c r="M13" s="74" t="e">
        <f>#REF!</f>
        <v>#REF!</v>
      </c>
      <c r="N13" s="62"/>
      <c r="O13" s="52"/>
      <c r="P13" s="49"/>
      <c r="Q13" s="53"/>
      <c r="R13" s="85"/>
    </row>
    <row r="14" spans="1:19" ht="24.95" customHeight="1">
      <c r="A14" s="333"/>
      <c r="B14" s="61"/>
      <c r="C14" s="42"/>
      <c r="D14" s="43"/>
      <c r="E14" s="44"/>
      <c r="F14" s="45"/>
      <c r="G14" s="65"/>
      <c r="H14" s="69"/>
      <c r="I14" s="43"/>
      <c r="J14" s="45"/>
      <c r="K14" s="45"/>
      <c r="L14" s="45"/>
      <c r="M14" s="73"/>
      <c r="N14" s="61"/>
      <c r="O14" s="46"/>
      <c r="P14" s="43"/>
      <c r="Q14" s="47"/>
      <c r="R14" s="84"/>
    </row>
    <row r="15" spans="1:19" ht="24.95" customHeight="1">
      <c r="A15" s="333"/>
      <c r="B15" s="62" t="s">
        <v>141</v>
      </c>
      <c r="C15" s="48" t="s">
        <v>144</v>
      </c>
      <c r="D15" s="49"/>
      <c r="E15" s="50">
        <v>30</v>
      </c>
      <c r="F15" s="51" t="s">
        <v>34</v>
      </c>
      <c r="G15" s="66"/>
      <c r="H15" s="70" t="s">
        <v>144</v>
      </c>
      <c r="I15" s="49"/>
      <c r="J15" s="51">
        <f>ROUNDUP(E15*0.75,2)</f>
        <v>22.5</v>
      </c>
      <c r="K15" s="51" t="s">
        <v>34</v>
      </c>
      <c r="L15" s="51"/>
      <c r="M15" s="74" t="e">
        <f>ROUND(#REF!+(#REF!*2/100),2)</f>
        <v>#REF!</v>
      </c>
      <c r="N15" s="62" t="s">
        <v>142</v>
      </c>
      <c r="O15" s="52" t="s">
        <v>27</v>
      </c>
      <c r="P15" s="49"/>
      <c r="Q15" s="53">
        <v>1</v>
      </c>
      <c r="R15" s="85">
        <f>ROUNDUP(Q15*0.75,2)</f>
        <v>0.75</v>
      </c>
    </row>
    <row r="16" spans="1:19" ht="24.95" customHeight="1">
      <c r="A16" s="333"/>
      <c r="B16" s="62"/>
      <c r="C16" s="48" t="s">
        <v>48</v>
      </c>
      <c r="D16" s="49"/>
      <c r="E16" s="50">
        <v>0.5</v>
      </c>
      <c r="F16" s="51" t="s">
        <v>34</v>
      </c>
      <c r="G16" s="66" t="s">
        <v>49</v>
      </c>
      <c r="H16" s="70" t="s">
        <v>48</v>
      </c>
      <c r="I16" s="49"/>
      <c r="J16" s="51">
        <f>ROUNDUP(E16*0.75,2)</f>
        <v>0.38</v>
      </c>
      <c r="K16" s="51" t="s">
        <v>34</v>
      </c>
      <c r="L16" s="51" t="s">
        <v>49</v>
      </c>
      <c r="M16" s="74" t="e">
        <f>#REF!</f>
        <v>#REF!</v>
      </c>
      <c r="N16" s="62" t="s">
        <v>143</v>
      </c>
      <c r="O16" s="52" t="s">
        <v>45</v>
      </c>
      <c r="P16" s="49"/>
      <c r="Q16" s="53">
        <v>0.1</v>
      </c>
      <c r="R16" s="85">
        <f>ROUNDUP(Q16*0.75,2)</f>
        <v>0.08</v>
      </c>
    </row>
    <row r="17" spans="1:18" ht="24.95" customHeight="1">
      <c r="A17" s="333"/>
      <c r="B17" s="62"/>
      <c r="C17" s="48"/>
      <c r="D17" s="49"/>
      <c r="E17" s="50"/>
      <c r="F17" s="51"/>
      <c r="G17" s="66"/>
      <c r="H17" s="70"/>
      <c r="I17" s="49"/>
      <c r="J17" s="51"/>
      <c r="K17" s="51"/>
      <c r="L17" s="51"/>
      <c r="M17" s="74"/>
      <c r="N17" s="62" t="s">
        <v>18</v>
      </c>
      <c r="O17" s="52" t="s">
        <v>102</v>
      </c>
      <c r="P17" s="49"/>
      <c r="Q17" s="53">
        <v>2</v>
      </c>
      <c r="R17" s="85">
        <f>ROUNDUP(Q17*0.75,2)</f>
        <v>1.5</v>
      </c>
    </row>
    <row r="18" spans="1:18" ht="24.95" customHeight="1">
      <c r="A18" s="333"/>
      <c r="B18" s="62"/>
      <c r="C18" s="48"/>
      <c r="D18" s="49"/>
      <c r="E18" s="50"/>
      <c r="F18" s="51"/>
      <c r="G18" s="66"/>
      <c r="H18" s="70"/>
      <c r="I18" s="49"/>
      <c r="J18" s="51"/>
      <c r="K18" s="51"/>
      <c r="L18" s="51"/>
      <c r="M18" s="74"/>
      <c r="N18" s="62"/>
      <c r="O18" s="52" t="s">
        <v>24</v>
      </c>
      <c r="P18" s="49"/>
      <c r="Q18" s="53">
        <v>2</v>
      </c>
      <c r="R18" s="85">
        <f>ROUNDUP(Q18*0.75,2)</f>
        <v>1.5</v>
      </c>
    </row>
    <row r="19" spans="1:18" ht="24.95" customHeight="1">
      <c r="A19" s="333"/>
      <c r="B19" s="61"/>
      <c r="C19" s="42"/>
      <c r="D19" s="43"/>
      <c r="E19" s="44"/>
      <c r="F19" s="45"/>
      <c r="G19" s="65"/>
      <c r="H19" s="69"/>
      <c r="I19" s="43"/>
      <c r="J19" s="45"/>
      <c r="K19" s="45"/>
      <c r="L19" s="45"/>
      <c r="M19" s="73"/>
      <c r="N19" s="61"/>
      <c r="O19" s="46"/>
      <c r="P19" s="43"/>
      <c r="Q19" s="47"/>
      <c r="R19" s="84"/>
    </row>
    <row r="20" spans="1:18" ht="24.95" customHeight="1">
      <c r="A20" s="333"/>
      <c r="B20" s="62" t="s">
        <v>145</v>
      </c>
      <c r="C20" s="48" t="s">
        <v>147</v>
      </c>
      <c r="D20" s="49"/>
      <c r="E20" s="79">
        <v>0.125</v>
      </c>
      <c r="F20" s="51" t="s">
        <v>40</v>
      </c>
      <c r="G20" s="66"/>
      <c r="H20" s="70" t="s">
        <v>147</v>
      </c>
      <c r="I20" s="49"/>
      <c r="J20" s="51">
        <f>ROUNDUP(E20*0.75,2)</f>
        <v>9.9999999999999992E-2</v>
      </c>
      <c r="K20" s="51" t="s">
        <v>40</v>
      </c>
      <c r="L20" s="51"/>
      <c r="M20" s="74" t="e">
        <f>#REF!</f>
        <v>#REF!</v>
      </c>
      <c r="N20" s="62" t="s">
        <v>146</v>
      </c>
      <c r="O20" s="52"/>
      <c r="P20" s="49"/>
      <c r="Q20" s="53"/>
      <c r="R20" s="85"/>
    </row>
    <row r="21" spans="1:18" ht="24.95" customHeight="1" thickBot="1">
      <c r="A21" s="334"/>
      <c r="B21" s="63"/>
      <c r="C21" s="54"/>
      <c r="D21" s="55"/>
      <c r="E21" s="56"/>
      <c r="F21" s="57"/>
      <c r="G21" s="67"/>
      <c r="H21" s="71"/>
      <c r="I21" s="55"/>
      <c r="J21" s="57"/>
      <c r="K21" s="57"/>
      <c r="L21" s="57"/>
      <c r="M21" s="75"/>
      <c r="N21" s="63"/>
      <c r="O21" s="58"/>
      <c r="P21" s="55"/>
      <c r="Q21" s="59"/>
      <c r="R21" s="86"/>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c r="A1" s="1" t="s">
        <v>12</v>
      </c>
      <c r="B1" s="1"/>
      <c r="C1" s="2"/>
      <c r="D1" s="3"/>
      <c r="E1" s="2"/>
      <c r="F1" s="2"/>
      <c r="G1" s="2"/>
      <c r="H1" s="328"/>
      <c r="I1" s="328"/>
      <c r="J1" s="329"/>
      <c r="K1" s="329"/>
      <c r="L1" s="329"/>
      <c r="M1" s="329"/>
      <c r="N1" s="329"/>
      <c r="O1" s="2"/>
      <c r="P1" s="2"/>
      <c r="Q1" s="4"/>
      <c r="R1" s="4"/>
      <c r="S1" s="3"/>
    </row>
    <row r="2" spans="1:26" ht="36.75" customHeight="1">
      <c r="A2" s="328" t="s">
        <v>0</v>
      </c>
      <c r="B2" s="328"/>
      <c r="C2" s="329"/>
      <c r="D2" s="329"/>
      <c r="E2" s="329"/>
      <c r="F2" s="329"/>
      <c r="G2" s="329"/>
      <c r="H2" s="329"/>
      <c r="I2" s="329"/>
      <c r="J2" s="329"/>
      <c r="K2" s="329"/>
      <c r="L2" s="329"/>
      <c r="M2" s="329"/>
      <c r="N2" s="329"/>
      <c r="O2" s="329"/>
      <c r="P2" s="329"/>
      <c r="Q2" s="329"/>
      <c r="R2" s="329"/>
      <c r="S2" s="3"/>
    </row>
    <row r="3" spans="1:26" ht="22.5" customHeight="1">
      <c r="A3" s="5"/>
      <c r="B3" s="336" t="s">
        <v>284</v>
      </c>
      <c r="C3" s="336"/>
      <c r="D3" s="3"/>
      <c r="E3" s="6"/>
      <c r="F3" s="2"/>
      <c r="G3" s="2"/>
      <c r="H3" s="2"/>
      <c r="I3" s="3"/>
      <c r="J3" s="2"/>
      <c r="K3" s="7"/>
      <c r="L3" s="7"/>
      <c r="M3" s="8"/>
      <c r="N3" s="2"/>
      <c r="O3" s="3"/>
      <c r="P3"/>
      <c r="Q3"/>
      <c r="R3"/>
      <c r="S3"/>
      <c r="W3" s="3"/>
      <c r="X3" s="3"/>
      <c r="Y3" s="3"/>
      <c r="Z3" s="3"/>
    </row>
    <row r="4" spans="1:26" ht="22.5" customHeight="1">
      <c r="A4" s="5"/>
      <c r="B4" s="336"/>
      <c r="C4" s="336"/>
      <c r="D4" s="9"/>
      <c r="E4" s="6"/>
      <c r="F4" s="2"/>
      <c r="G4" s="2"/>
      <c r="H4" s="2"/>
      <c r="I4" s="9"/>
      <c r="J4" s="2"/>
      <c r="K4" s="7"/>
      <c r="L4" s="7"/>
      <c r="M4" s="8"/>
      <c r="N4" s="2"/>
      <c r="O4" s="3"/>
      <c r="P4"/>
      <c r="Q4"/>
      <c r="R4"/>
      <c r="S4"/>
      <c r="W4" s="3"/>
      <c r="X4" s="3"/>
      <c r="Y4" s="3"/>
      <c r="Z4" s="3"/>
    </row>
    <row r="5" spans="1:26" ht="27.75" customHeight="1" thickBot="1">
      <c r="A5" s="330" t="s">
        <v>155</v>
      </c>
      <c r="B5" s="331"/>
      <c r="C5" s="331"/>
      <c r="D5" s="331"/>
      <c r="E5" s="331"/>
      <c r="F5" s="331"/>
      <c r="G5" s="2"/>
      <c r="H5" s="2"/>
      <c r="I5" s="12"/>
      <c r="J5" s="2"/>
      <c r="K5" s="7"/>
      <c r="L5" s="7"/>
      <c r="M5" s="10"/>
      <c r="N5" s="2"/>
      <c r="O5" s="13"/>
      <c r="P5" s="12"/>
      <c r="Q5" s="14"/>
      <c r="R5" s="14"/>
      <c r="S5" s="11"/>
    </row>
    <row r="6" spans="1:26" customFormat="1" ht="42" customHeight="1" thickBot="1">
      <c r="A6" s="15"/>
      <c r="B6" s="16" t="s">
        <v>1</v>
      </c>
      <c r="C6" s="17" t="s">
        <v>2</v>
      </c>
      <c r="D6" s="18" t="s">
        <v>292</v>
      </c>
      <c r="E6" s="34" t="s">
        <v>6</v>
      </c>
      <c r="F6" s="19" t="s">
        <v>4</v>
      </c>
      <c r="G6" s="17" t="s">
        <v>5</v>
      </c>
      <c r="H6" s="16" t="s">
        <v>2</v>
      </c>
      <c r="I6" s="18" t="s">
        <v>292</v>
      </c>
      <c r="J6" s="35" t="s">
        <v>3</v>
      </c>
      <c r="K6" s="19" t="s">
        <v>4</v>
      </c>
      <c r="L6" s="19" t="s">
        <v>5</v>
      </c>
      <c r="M6" s="21" t="s">
        <v>7</v>
      </c>
      <c r="N6" s="22" t="s">
        <v>8</v>
      </c>
      <c r="O6" s="19" t="s">
        <v>9</v>
      </c>
      <c r="P6" s="23" t="s">
        <v>292</v>
      </c>
      <c r="Q6" s="20" t="s">
        <v>11</v>
      </c>
      <c r="R6" s="24" t="s">
        <v>10</v>
      </c>
      <c r="S6" s="25"/>
    </row>
    <row r="7" spans="1:26" ht="18.75" customHeight="1">
      <c r="A7" s="332" t="s">
        <v>51</v>
      </c>
      <c r="B7" s="87" t="s">
        <v>156</v>
      </c>
      <c r="C7" s="36" t="s">
        <v>63</v>
      </c>
      <c r="D7" s="37"/>
      <c r="E7" s="38">
        <v>10</v>
      </c>
      <c r="F7" s="39" t="s">
        <v>34</v>
      </c>
      <c r="G7" s="64" t="s">
        <v>58</v>
      </c>
      <c r="H7" s="68" t="s">
        <v>63</v>
      </c>
      <c r="I7" s="37"/>
      <c r="J7" s="39">
        <f>ROUNDUP(E7*0.75,2)</f>
        <v>7.5</v>
      </c>
      <c r="K7" s="39" t="s">
        <v>34</v>
      </c>
      <c r="L7" s="39" t="s">
        <v>58</v>
      </c>
      <c r="M7" s="72" t="e">
        <f>#REF!</f>
        <v>#REF!</v>
      </c>
      <c r="N7" s="60" t="s">
        <v>157</v>
      </c>
      <c r="O7" s="40" t="s">
        <v>13</v>
      </c>
      <c r="P7" s="37"/>
      <c r="Q7" s="41">
        <v>110</v>
      </c>
      <c r="R7" s="83">
        <f>ROUNDUP(Q7*0.75,2)</f>
        <v>82.5</v>
      </c>
    </row>
    <row r="8" spans="1:26" ht="18.75" customHeight="1">
      <c r="A8" s="333"/>
      <c r="B8" s="88"/>
      <c r="C8" s="48" t="s">
        <v>137</v>
      </c>
      <c r="D8" s="49"/>
      <c r="E8" s="50">
        <v>10</v>
      </c>
      <c r="F8" s="51" t="s">
        <v>34</v>
      </c>
      <c r="G8" s="66"/>
      <c r="H8" s="70" t="s">
        <v>137</v>
      </c>
      <c r="I8" s="49"/>
      <c r="J8" s="51">
        <f>ROUNDUP(E8*0.75,2)</f>
        <v>7.5</v>
      </c>
      <c r="K8" s="51" t="s">
        <v>34</v>
      </c>
      <c r="L8" s="51"/>
      <c r="M8" s="74" t="e">
        <f>ROUND(#REF!+(#REF!*10/100),2)</f>
        <v>#REF!</v>
      </c>
      <c r="N8" s="62" t="s">
        <v>264</v>
      </c>
      <c r="O8" s="52" t="s">
        <v>66</v>
      </c>
      <c r="P8" s="49"/>
      <c r="Q8" s="53">
        <v>0.5</v>
      </c>
      <c r="R8" s="85">
        <f>ROUNDUP(Q8*0.75,2)</f>
        <v>0.38</v>
      </c>
    </row>
    <row r="9" spans="1:26" ht="18.75" customHeight="1">
      <c r="A9" s="333"/>
      <c r="B9" s="88"/>
      <c r="C9" s="48" t="s">
        <v>158</v>
      </c>
      <c r="D9" s="49"/>
      <c r="E9" s="50">
        <v>10</v>
      </c>
      <c r="F9" s="51" t="s">
        <v>34</v>
      </c>
      <c r="G9" s="66"/>
      <c r="H9" s="70" t="s">
        <v>158</v>
      </c>
      <c r="I9" s="49"/>
      <c r="J9" s="51">
        <f>ROUNDUP(E9*0.75,2)</f>
        <v>7.5</v>
      </c>
      <c r="K9" s="51" t="s">
        <v>34</v>
      </c>
      <c r="L9" s="51"/>
      <c r="M9" s="74" t="e">
        <f>ROUND(#REF!+(#REF!*20/100),2)</f>
        <v>#REF!</v>
      </c>
      <c r="N9" s="62" t="s">
        <v>265</v>
      </c>
      <c r="O9" s="52" t="s">
        <v>27</v>
      </c>
      <c r="P9" s="49"/>
      <c r="Q9" s="53">
        <v>1</v>
      </c>
      <c r="R9" s="85">
        <f>ROUNDUP(Q9*0.75,2)</f>
        <v>0.75</v>
      </c>
    </row>
    <row r="10" spans="1:26" ht="18.75" customHeight="1">
      <c r="A10" s="333"/>
      <c r="B10" s="88"/>
      <c r="C10" s="48"/>
      <c r="D10" s="49"/>
      <c r="E10" s="50"/>
      <c r="F10" s="51"/>
      <c r="G10" s="66"/>
      <c r="H10" s="70"/>
      <c r="I10" s="49"/>
      <c r="J10" s="51"/>
      <c r="K10" s="51"/>
      <c r="L10" s="51"/>
      <c r="M10" s="74"/>
      <c r="N10" s="62" t="s">
        <v>18</v>
      </c>
      <c r="O10" s="52" t="s">
        <v>35</v>
      </c>
      <c r="P10" s="49" t="s">
        <v>23</v>
      </c>
      <c r="Q10" s="53">
        <v>1</v>
      </c>
      <c r="R10" s="85">
        <f>ROUNDUP(Q10*0.75,2)</f>
        <v>0.75</v>
      </c>
    </row>
    <row r="11" spans="1:26" ht="18.75" customHeight="1">
      <c r="A11" s="333"/>
      <c r="B11" s="89"/>
      <c r="C11" s="42"/>
      <c r="D11" s="43"/>
      <c r="E11" s="44"/>
      <c r="F11" s="45"/>
      <c r="G11" s="65"/>
      <c r="H11" s="69"/>
      <c r="I11" s="43"/>
      <c r="J11" s="45"/>
      <c r="K11" s="45"/>
      <c r="L11" s="45"/>
      <c r="M11" s="73"/>
      <c r="N11" s="61"/>
      <c r="O11" s="46"/>
      <c r="P11" s="43"/>
      <c r="Q11" s="47"/>
      <c r="R11" s="84"/>
    </row>
    <row r="12" spans="1:26" ht="18.75" customHeight="1">
      <c r="A12" s="333"/>
      <c r="B12" s="88" t="s">
        <v>159</v>
      </c>
      <c r="C12" s="48" t="s">
        <v>108</v>
      </c>
      <c r="D12" s="49"/>
      <c r="E12" s="50">
        <v>1</v>
      </c>
      <c r="F12" s="51" t="s">
        <v>21</v>
      </c>
      <c r="G12" s="66" t="s">
        <v>109</v>
      </c>
      <c r="H12" s="70" t="s">
        <v>108</v>
      </c>
      <c r="I12" s="49"/>
      <c r="J12" s="51">
        <f>ROUNDUP(E12*0.75,2)</f>
        <v>0.75</v>
      </c>
      <c r="K12" s="51" t="s">
        <v>21</v>
      </c>
      <c r="L12" s="51" t="s">
        <v>109</v>
      </c>
      <c r="M12" s="74" t="e">
        <f>#REF!</f>
        <v>#REF!</v>
      </c>
      <c r="N12" s="62" t="s">
        <v>160</v>
      </c>
      <c r="O12" s="52" t="s">
        <v>30</v>
      </c>
      <c r="P12" s="49" t="s">
        <v>31</v>
      </c>
      <c r="Q12" s="53">
        <v>10</v>
      </c>
      <c r="R12" s="85">
        <f>ROUNDUP(Q12*0.75,2)</f>
        <v>7.5</v>
      </c>
    </row>
    <row r="13" spans="1:26" ht="18.75" customHeight="1">
      <c r="A13" s="333"/>
      <c r="B13" s="88"/>
      <c r="C13" s="48" t="s">
        <v>166</v>
      </c>
      <c r="D13" s="49"/>
      <c r="E13" s="50">
        <v>0.5</v>
      </c>
      <c r="F13" s="51" t="s">
        <v>34</v>
      </c>
      <c r="G13" s="66"/>
      <c r="H13" s="70" t="s">
        <v>166</v>
      </c>
      <c r="I13" s="49"/>
      <c r="J13" s="51">
        <f>ROUNDUP(E13*0.75,2)</f>
        <v>0.38</v>
      </c>
      <c r="K13" s="51" t="s">
        <v>34</v>
      </c>
      <c r="L13" s="51"/>
      <c r="M13" s="74" t="e">
        <f>#REF!</f>
        <v>#REF!</v>
      </c>
      <c r="N13" s="62" t="s">
        <v>161</v>
      </c>
      <c r="O13" s="52" t="s">
        <v>45</v>
      </c>
      <c r="P13" s="49"/>
      <c r="Q13" s="53">
        <v>0.1</v>
      </c>
      <c r="R13" s="85">
        <f>ROUNDUP(Q13*0.75,2)</f>
        <v>0.08</v>
      </c>
    </row>
    <row r="14" spans="1:26" ht="18.75" customHeight="1">
      <c r="A14" s="333"/>
      <c r="B14" s="88"/>
      <c r="C14" s="48" t="s">
        <v>167</v>
      </c>
      <c r="D14" s="49"/>
      <c r="E14" s="50">
        <v>20</v>
      </c>
      <c r="F14" s="51" t="s">
        <v>34</v>
      </c>
      <c r="G14" s="66"/>
      <c r="H14" s="70" t="s">
        <v>167</v>
      </c>
      <c r="I14" s="49"/>
      <c r="J14" s="51">
        <f>ROUNDUP(E14*0.75,2)</f>
        <v>15</v>
      </c>
      <c r="K14" s="51" t="s">
        <v>34</v>
      </c>
      <c r="L14" s="51"/>
      <c r="M14" s="74" t="e">
        <f>ROUND(#REF!+(#REF!*3/100),2)</f>
        <v>#REF!</v>
      </c>
      <c r="N14" s="62" t="s">
        <v>162</v>
      </c>
      <c r="O14" s="52" t="s">
        <v>46</v>
      </c>
      <c r="P14" s="49"/>
      <c r="Q14" s="53">
        <v>0.01</v>
      </c>
      <c r="R14" s="85">
        <f>ROUNDUP(Q14*0.75,2)</f>
        <v>0.01</v>
      </c>
    </row>
    <row r="15" spans="1:26" ht="18.75" customHeight="1">
      <c r="A15" s="333"/>
      <c r="B15" s="88"/>
      <c r="C15" s="48" t="s">
        <v>168</v>
      </c>
      <c r="D15" s="49"/>
      <c r="E15" s="50">
        <v>0.5</v>
      </c>
      <c r="F15" s="51" t="s">
        <v>34</v>
      </c>
      <c r="G15" s="66"/>
      <c r="H15" s="70" t="s">
        <v>168</v>
      </c>
      <c r="I15" s="49"/>
      <c r="J15" s="51">
        <f>ROUNDUP(E15*0.75,2)</f>
        <v>0.38</v>
      </c>
      <c r="K15" s="51" t="s">
        <v>34</v>
      </c>
      <c r="L15" s="51"/>
      <c r="M15" s="74" t="e">
        <f>ROUND(#REF!+(#REF!*10/100),2)</f>
        <v>#REF!</v>
      </c>
      <c r="N15" s="62" t="s">
        <v>163</v>
      </c>
      <c r="O15" s="52" t="s">
        <v>22</v>
      </c>
      <c r="P15" s="49" t="s">
        <v>23</v>
      </c>
      <c r="Q15" s="53">
        <v>3</v>
      </c>
      <c r="R15" s="85">
        <f>ROUNDUP(Q15*0.75,2)</f>
        <v>2.25</v>
      </c>
    </row>
    <row r="16" spans="1:26" ht="18.75" customHeight="1">
      <c r="A16" s="333"/>
      <c r="B16" s="88"/>
      <c r="C16" s="48"/>
      <c r="D16" s="49"/>
      <c r="E16" s="50"/>
      <c r="F16" s="51"/>
      <c r="G16" s="66"/>
      <c r="H16" s="70"/>
      <c r="I16" s="49"/>
      <c r="J16" s="51"/>
      <c r="K16" s="51"/>
      <c r="L16" s="51"/>
      <c r="M16" s="74"/>
      <c r="N16" s="62" t="s">
        <v>164</v>
      </c>
      <c r="O16" s="52" t="s">
        <v>24</v>
      </c>
      <c r="P16" s="49"/>
      <c r="Q16" s="53">
        <v>1</v>
      </c>
      <c r="R16" s="85">
        <f>ROUNDUP(Q16*0.75,2)</f>
        <v>0.75</v>
      </c>
    </row>
    <row r="17" spans="1:18" ht="18.75" customHeight="1">
      <c r="A17" s="333"/>
      <c r="B17" s="88"/>
      <c r="C17" s="48"/>
      <c r="D17" s="49"/>
      <c r="E17" s="50"/>
      <c r="F17" s="51"/>
      <c r="G17" s="66"/>
      <c r="H17" s="70"/>
      <c r="I17" s="49"/>
      <c r="J17" s="51"/>
      <c r="K17" s="51"/>
      <c r="L17" s="51"/>
      <c r="M17" s="74"/>
      <c r="N17" s="82" t="s">
        <v>165</v>
      </c>
      <c r="O17" s="52"/>
      <c r="P17" s="49"/>
      <c r="Q17" s="53"/>
      <c r="R17" s="85"/>
    </row>
    <row r="18" spans="1:18" ht="18.75" customHeight="1">
      <c r="A18" s="333"/>
      <c r="B18" s="88"/>
      <c r="C18" s="48"/>
      <c r="D18" s="49"/>
      <c r="E18" s="50"/>
      <c r="F18" s="51"/>
      <c r="G18" s="66"/>
      <c r="H18" s="70"/>
      <c r="I18" s="49"/>
      <c r="J18" s="51"/>
      <c r="K18" s="51"/>
      <c r="L18" s="51"/>
      <c r="M18" s="74"/>
      <c r="N18" s="62" t="s">
        <v>18</v>
      </c>
      <c r="O18" s="52"/>
      <c r="P18" s="49"/>
      <c r="Q18" s="53"/>
      <c r="R18" s="85"/>
    </row>
    <row r="19" spans="1:18" ht="18.75" customHeight="1">
      <c r="A19" s="333"/>
      <c r="B19" s="89"/>
      <c r="C19" s="42"/>
      <c r="D19" s="43"/>
      <c r="E19" s="44"/>
      <c r="F19" s="45"/>
      <c r="G19" s="65"/>
      <c r="H19" s="69"/>
      <c r="I19" s="43"/>
      <c r="J19" s="45"/>
      <c r="K19" s="45"/>
      <c r="L19" s="45"/>
      <c r="M19" s="73"/>
      <c r="N19" s="61"/>
      <c r="O19" s="46"/>
      <c r="P19" s="43"/>
      <c r="Q19" s="47"/>
      <c r="R19" s="84"/>
    </row>
    <row r="20" spans="1:18" ht="18.75" customHeight="1">
      <c r="A20" s="333"/>
      <c r="B20" s="88" t="s">
        <v>169</v>
      </c>
      <c r="C20" s="48" t="s">
        <v>173</v>
      </c>
      <c r="D20" s="49"/>
      <c r="E20" s="50">
        <v>30</v>
      </c>
      <c r="F20" s="51" t="s">
        <v>34</v>
      </c>
      <c r="G20" s="66"/>
      <c r="H20" s="70" t="s">
        <v>173</v>
      </c>
      <c r="I20" s="49"/>
      <c r="J20" s="51">
        <f>ROUNDUP(E20*0.75,2)</f>
        <v>22.5</v>
      </c>
      <c r="K20" s="51" t="s">
        <v>34</v>
      </c>
      <c r="L20" s="51"/>
      <c r="M20" s="74" t="e">
        <f>ROUND(#REF!+(#REF!*10/100),2)</f>
        <v>#REF!</v>
      </c>
      <c r="N20" s="62" t="s">
        <v>170</v>
      </c>
      <c r="O20" s="52" t="s">
        <v>24</v>
      </c>
      <c r="P20" s="49"/>
      <c r="Q20" s="53">
        <v>2</v>
      </c>
      <c r="R20" s="85">
        <f>ROUNDUP(Q20*0.75,2)</f>
        <v>1.5</v>
      </c>
    </row>
    <row r="21" spans="1:18" ht="18.75" customHeight="1">
      <c r="A21" s="333"/>
      <c r="B21" s="88"/>
      <c r="C21" s="48" t="s">
        <v>174</v>
      </c>
      <c r="D21" s="49"/>
      <c r="E21" s="50">
        <v>5</v>
      </c>
      <c r="F21" s="51" t="s">
        <v>34</v>
      </c>
      <c r="G21" s="66"/>
      <c r="H21" s="70" t="s">
        <v>174</v>
      </c>
      <c r="I21" s="49"/>
      <c r="J21" s="51">
        <f>ROUNDUP(E21*0.75,2)</f>
        <v>3.75</v>
      </c>
      <c r="K21" s="51" t="s">
        <v>34</v>
      </c>
      <c r="L21" s="51"/>
      <c r="M21" s="74" t="e">
        <f>ROUND(#REF!+(#REF!*15/100),2)</f>
        <v>#REF!</v>
      </c>
      <c r="N21" s="62" t="s">
        <v>171</v>
      </c>
      <c r="O21" s="52" t="s">
        <v>36</v>
      </c>
      <c r="P21" s="49"/>
      <c r="Q21" s="53">
        <v>10</v>
      </c>
      <c r="R21" s="85">
        <f>ROUNDUP(Q21*0.75,2)</f>
        <v>7.5</v>
      </c>
    </row>
    <row r="22" spans="1:18" ht="18.75" customHeight="1">
      <c r="A22" s="333"/>
      <c r="B22" s="88"/>
      <c r="C22" s="48"/>
      <c r="D22" s="49"/>
      <c r="E22" s="50"/>
      <c r="F22" s="51"/>
      <c r="G22" s="66"/>
      <c r="H22" s="70"/>
      <c r="I22" s="49"/>
      <c r="J22" s="51"/>
      <c r="K22" s="51"/>
      <c r="L22" s="51"/>
      <c r="M22" s="74"/>
      <c r="N22" s="62" t="s">
        <v>172</v>
      </c>
      <c r="O22" s="52" t="s">
        <v>28</v>
      </c>
      <c r="P22" s="49"/>
      <c r="Q22" s="53">
        <v>1.5</v>
      </c>
      <c r="R22" s="85">
        <f>ROUNDUP(Q22*0.75,2)</f>
        <v>1.1300000000000001</v>
      </c>
    </row>
    <row r="23" spans="1:18" ht="18.75" customHeight="1">
      <c r="A23" s="333"/>
      <c r="B23" s="88"/>
      <c r="C23" s="48"/>
      <c r="D23" s="49"/>
      <c r="E23" s="50"/>
      <c r="F23" s="51"/>
      <c r="G23" s="66"/>
      <c r="H23" s="70"/>
      <c r="I23" s="49"/>
      <c r="J23" s="51"/>
      <c r="K23" s="51"/>
      <c r="L23" s="51"/>
      <c r="M23" s="74"/>
      <c r="N23" s="62" t="s">
        <v>18</v>
      </c>
      <c r="O23" s="52" t="s">
        <v>27</v>
      </c>
      <c r="P23" s="49"/>
      <c r="Q23" s="53">
        <v>0.5</v>
      </c>
      <c r="R23" s="85">
        <f>ROUNDUP(Q23*0.75,2)</f>
        <v>0.38</v>
      </c>
    </row>
    <row r="24" spans="1:18" ht="18.75" customHeight="1">
      <c r="A24" s="333"/>
      <c r="B24" s="88"/>
      <c r="C24" s="48"/>
      <c r="D24" s="49"/>
      <c r="E24" s="50"/>
      <c r="F24" s="51"/>
      <c r="G24" s="66"/>
      <c r="H24" s="70"/>
      <c r="I24" s="49"/>
      <c r="J24" s="51"/>
      <c r="K24" s="51"/>
      <c r="L24" s="51"/>
      <c r="M24" s="74"/>
      <c r="N24" s="62"/>
      <c r="O24" s="52" t="s">
        <v>35</v>
      </c>
      <c r="P24" s="49" t="s">
        <v>23</v>
      </c>
      <c r="Q24" s="53">
        <v>1.5</v>
      </c>
      <c r="R24" s="85">
        <f>ROUNDUP(Q24*0.75,2)</f>
        <v>1.1300000000000001</v>
      </c>
    </row>
    <row r="25" spans="1:18" ht="18.75" customHeight="1">
      <c r="A25" s="333"/>
      <c r="B25" s="89"/>
      <c r="C25" s="42"/>
      <c r="D25" s="43"/>
      <c r="E25" s="44"/>
      <c r="F25" s="45"/>
      <c r="G25" s="65"/>
      <c r="H25" s="69"/>
      <c r="I25" s="43"/>
      <c r="J25" s="45"/>
      <c r="K25" s="45"/>
      <c r="L25" s="45"/>
      <c r="M25" s="73"/>
      <c r="N25" s="61"/>
      <c r="O25" s="46"/>
      <c r="P25" s="43"/>
      <c r="Q25" s="47"/>
      <c r="R25" s="84"/>
    </row>
    <row r="26" spans="1:18" ht="18.75" customHeight="1">
      <c r="A26" s="333"/>
      <c r="B26" s="88" t="s">
        <v>175</v>
      </c>
      <c r="C26" s="48" t="s">
        <v>176</v>
      </c>
      <c r="D26" s="49"/>
      <c r="E26" s="81">
        <v>0.16666666666666666</v>
      </c>
      <c r="F26" s="51" t="s">
        <v>40</v>
      </c>
      <c r="G26" s="66"/>
      <c r="H26" s="70" t="s">
        <v>176</v>
      </c>
      <c r="I26" s="49"/>
      <c r="J26" s="51">
        <f>ROUNDUP(E26*0.75,2)</f>
        <v>0.13</v>
      </c>
      <c r="K26" s="51" t="s">
        <v>40</v>
      </c>
      <c r="L26" s="51"/>
      <c r="M26" s="74" t="e">
        <f>#REF!</f>
        <v>#REF!</v>
      </c>
      <c r="N26" s="62" t="s">
        <v>146</v>
      </c>
      <c r="O26" s="52"/>
      <c r="P26" s="49"/>
      <c r="Q26" s="53"/>
      <c r="R26" s="85"/>
    </row>
    <row r="27" spans="1:18" ht="18.75" customHeight="1" thickBot="1">
      <c r="A27" s="334"/>
      <c r="B27" s="90"/>
      <c r="C27" s="54"/>
      <c r="D27" s="55"/>
      <c r="E27" s="56"/>
      <c r="F27" s="57"/>
      <c r="G27" s="67"/>
      <c r="H27" s="71"/>
      <c r="I27" s="55"/>
      <c r="J27" s="57"/>
      <c r="K27" s="57"/>
      <c r="L27" s="57"/>
      <c r="M27" s="75"/>
      <c r="N27" s="63"/>
      <c r="O27" s="58"/>
      <c r="P27" s="55"/>
      <c r="Q27" s="59"/>
      <c r="R27" s="86"/>
    </row>
    <row r="28" spans="1:18" ht="18.75" customHeight="1">
      <c r="P28" s="335" t="s">
        <v>285</v>
      </c>
      <c r="Q28" s="335"/>
      <c r="R28" s="335"/>
    </row>
  </sheetData>
  <mergeCells count="6">
    <mergeCell ref="P28:R28"/>
    <mergeCell ref="H1:N1"/>
    <mergeCell ref="A2:R2"/>
    <mergeCell ref="A5:F5"/>
    <mergeCell ref="A7:A27"/>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92" t="s">
        <v>12</v>
      </c>
      <c r="B1" s="92"/>
      <c r="C1" s="91"/>
      <c r="D1" s="93"/>
      <c r="E1" s="91"/>
      <c r="F1" s="91"/>
      <c r="G1" s="91"/>
      <c r="H1" s="337"/>
      <c r="I1" s="337"/>
      <c r="J1" s="338"/>
      <c r="K1" s="338"/>
      <c r="L1" s="338"/>
      <c r="M1" s="338"/>
      <c r="N1" s="338"/>
      <c r="O1" s="91"/>
      <c r="P1" s="91"/>
      <c r="Q1" s="94"/>
      <c r="R1" s="94"/>
      <c r="S1" s="3"/>
    </row>
    <row r="2" spans="1:19" ht="36.75" customHeight="1">
      <c r="A2" s="337" t="s">
        <v>0</v>
      </c>
      <c r="B2" s="337"/>
      <c r="C2" s="338"/>
      <c r="D2" s="338"/>
      <c r="E2" s="338"/>
      <c r="F2" s="338"/>
      <c r="G2" s="338"/>
      <c r="H2" s="338"/>
      <c r="I2" s="338"/>
      <c r="J2" s="338"/>
      <c r="K2" s="338"/>
      <c r="L2" s="338"/>
      <c r="M2" s="338"/>
      <c r="N2" s="338"/>
      <c r="O2" s="338"/>
      <c r="P2" s="338"/>
      <c r="Q2" s="338"/>
      <c r="R2" s="338"/>
      <c r="S2" s="3"/>
    </row>
    <row r="3" spans="1:19" ht="27.75" customHeight="1" thickBot="1">
      <c r="A3" s="339" t="s">
        <v>179</v>
      </c>
      <c r="B3" s="340"/>
      <c r="C3" s="340"/>
      <c r="D3" s="340"/>
      <c r="E3" s="340"/>
      <c r="F3" s="340"/>
      <c r="G3" s="95"/>
      <c r="H3" s="95"/>
      <c r="I3" s="96"/>
      <c r="J3" s="95"/>
      <c r="K3" s="97"/>
      <c r="L3" s="97"/>
      <c r="M3" s="98"/>
      <c r="N3" s="95"/>
      <c r="O3" s="99"/>
      <c r="P3" s="96"/>
      <c r="Q3" s="100"/>
      <c r="R3" s="100"/>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180</v>
      </c>
      <c r="C7" s="48" t="s">
        <v>101</v>
      </c>
      <c r="D7" s="49"/>
      <c r="E7" s="50">
        <v>40</v>
      </c>
      <c r="F7" s="51" t="s">
        <v>34</v>
      </c>
      <c r="G7" s="66" t="s">
        <v>58</v>
      </c>
      <c r="H7" s="70" t="s">
        <v>101</v>
      </c>
      <c r="I7" s="49"/>
      <c r="J7" s="51">
        <f t="shared" ref="J7:J12" si="0">ROUNDUP(E7*0.75,2)</f>
        <v>30</v>
      </c>
      <c r="K7" s="51" t="s">
        <v>34</v>
      </c>
      <c r="L7" s="51" t="s">
        <v>58</v>
      </c>
      <c r="M7" s="74" t="e">
        <f>#REF!</f>
        <v>#REF!</v>
      </c>
      <c r="N7" s="62" t="s">
        <v>181</v>
      </c>
      <c r="O7" s="52" t="s">
        <v>24</v>
      </c>
      <c r="P7" s="49"/>
      <c r="Q7" s="53">
        <v>1</v>
      </c>
      <c r="R7" s="85">
        <f t="shared" ref="R7:R16" si="1">ROUNDUP(Q7*0.75,2)</f>
        <v>0.75</v>
      </c>
    </row>
    <row r="8" spans="1:19" ht="24.95" customHeight="1">
      <c r="A8" s="333"/>
      <c r="B8" s="62"/>
      <c r="C8" s="48" t="s">
        <v>135</v>
      </c>
      <c r="D8" s="49"/>
      <c r="E8" s="50">
        <v>20</v>
      </c>
      <c r="F8" s="51" t="s">
        <v>34</v>
      </c>
      <c r="G8" s="66"/>
      <c r="H8" s="70" t="s">
        <v>135</v>
      </c>
      <c r="I8" s="49"/>
      <c r="J8" s="51">
        <f t="shared" si="0"/>
        <v>15</v>
      </c>
      <c r="K8" s="51" t="s">
        <v>34</v>
      </c>
      <c r="L8" s="51"/>
      <c r="M8" s="74" t="e">
        <f>ROUND(#REF!+(#REF!*6/100),2)</f>
        <v>#REF!</v>
      </c>
      <c r="N8" s="62" t="s">
        <v>182</v>
      </c>
      <c r="O8" s="52" t="s">
        <v>45</v>
      </c>
      <c r="P8" s="49"/>
      <c r="Q8" s="53">
        <v>0.1</v>
      </c>
      <c r="R8" s="85">
        <f t="shared" si="1"/>
        <v>0.08</v>
      </c>
    </row>
    <row r="9" spans="1:19" ht="24.95" customHeight="1">
      <c r="A9" s="333"/>
      <c r="B9" s="62"/>
      <c r="C9" s="48" t="s">
        <v>97</v>
      </c>
      <c r="D9" s="49" t="s">
        <v>23</v>
      </c>
      <c r="E9" s="50">
        <v>5</v>
      </c>
      <c r="F9" s="51" t="s">
        <v>34</v>
      </c>
      <c r="G9" s="66" t="s">
        <v>98</v>
      </c>
      <c r="H9" s="70" t="s">
        <v>97</v>
      </c>
      <c r="I9" s="49" t="s">
        <v>23</v>
      </c>
      <c r="J9" s="51">
        <f t="shared" si="0"/>
        <v>3.75</v>
      </c>
      <c r="K9" s="51" t="s">
        <v>34</v>
      </c>
      <c r="L9" s="51" t="s">
        <v>98</v>
      </c>
      <c r="M9" s="74" t="e">
        <f>#REF!</f>
        <v>#REF!</v>
      </c>
      <c r="N9" s="62" t="s">
        <v>183</v>
      </c>
      <c r="O9" s="52" t="s">
        <v>46</v>
      </c>
      <c r="P9" s="49"/>
      <c r="Q9" s="53">
        <v>0.01</v>
      </c>
      <c r="R9" s="85">
        <f t="shared" si="1"/>
        <v>0.01</v>
      </c>
    </row>
    <row r="10" spans="1:19" ht="24.95" customHeight="1">
      <c r="A10" s="333"/>
      <c r="B10" s="62"/>
      <c r="C10" s="48" t="s">
        <v>89</v>
      </c>
      <c r="D10" s="49"/>
      <c r="E10" s="50">
        <v>5</v>
      </c>
      <c r="F10" s="51" t="s">
        <v>54</v>
      </c>
      <c r="G10" s="66"/>
      <c r="H10" s="70" t="s">
        <v>89</v>
      </c>
      <c r="I10" s="49"/>
      <c r="J10" s="51">
        <f t="shared" si="0"/>
        <v>3.75</v>
      </c>
      <c r="K10" s="51" t="s">
        <v>54</v>
      </c>
      <c r="L10" s="51"/>
      <c r="M10" s="74" t="e">
        <f>#REF!</f>
        <v>#REF!</v>
      </c>
      <c r="N10" s="62" t="s">
        <v>184</v>
      </c>
      <c r="O10" s="52" t="s">
        <v>24</v>
      </c>
      <c r="P10" s="49"/>
      <c r="Q10" s="53">
        <v>2</v>
      </c>
      <c r="R10" s="85">
        <f t="shared" si="1"/>
        <v>1.5</v>
      </c>
    </row>
    <row r="11" spans="1:19" ht="24.95" customHeight="1">
      <c r="A11" s="333"/>
      <c r="B11" s="62"/>
      <c r="C11" s="48" t="s">
        <v>32</v>
      </c>
      <c r="D11" s="49"/>
      <c r="E11" s="50">
        <v>20</v>
      </c>
      <c r="F11" s="51" t="s">
        <v>34</v>
      </c>
      <c r="G11" s="66" t="s">
        <v>33</v>
      </c>
      <c r="H11" s="70" t="s">
        <v>32</v>
      </c>
      <c r="I11" s="49"/>
      <c r="J11" s="51">
        <f t="shared" si="0"/>
        <v>15</v>
      </c>
      <c r="K11" s="51" t="s">
        <v>34</v>
      </c>
      <c r="L11" s="51" t="s">
        <v>33</v>
      </c>
      <c r="M11" s="74" t="e">
        <f>#REF!</f>
        <v>#REF!</v>
      </c>
      <c r="N11" s="62" t="s">
        <v>273</v>
      </c>
      <c r="O11" s="52" t="s">
        <v>66</v>
      </c>
      <c r="P11" s="49"/>
      <c r="Q11" s="53">
        <v>1</v>
      </c>
      <c r="R11" s="85">
        <f t="shared" si="1"/>
        <v>0.75</v>
      </c>
    </row>
    <row r="12" spans="1:19" ht="24.95" customHeight="1">
      <c r="A12" s="333"/>
      <c r="B12" s="62"/>
      <c r="C12" s="48" t="s">
        <v>93</v>
      </c>
      <c r="D12" s="49"/>
      <c r="E12" s="50">
        <v>5</v>
      </c>
      <c r="F12" s="51" t="s">
        <v>34</v>
      </c>
      <c r="G12" s="66" t="s">
        <v>94</v>
      </c>
      <c r="H12" s="70" t="s">
        <v>93</v>
      </c>
      <c r="I12" s="49"/>
      <c r="J12" s="51">
        <f t="shared" si="0"/>
        <v>3.75</v>
      </c>
      <c r="K12" s="51" t="s">
        <v>34</v>
      </c>
      <c r="L12" s="51" t="s">
        <v>94</v>
      </c>
      <c r="M12" s="74" t="e">
        <f>#REF!</f>
        <v>#REF!</v>
      </c>
      <c r="N12" s="62" t="s">
        <v>18</v>
      </c>
      <c r="O12" s="52" t="s">
        <v>27</v>
      </c>
      <c r="P12" s="49"/>
      <c r="Q12" s="53">
        <v>1.5</v>
      </c>
      <c r="R12" s="85">
        <f t="shared" si="1"/>
        <v>1.1300000000000001</v>
      </c>
    </row>
    <row r="13" spans="1:19" ht="24.95" customHeight="1">
      <c r="A13" s="333"/>
      <c r="B13" s="62"/>
      <c r="C13" s="48"/>
      <c r="D13" s="49"/>
      <c r="E13" s="50"/>
      <c r="F13" s="51"/>
      <c r="G13" s="66"/>
      <c r="H13" s="70"/>
      <c r="I13" s="49"/>
      <c r="J13" s="51"/>
      <c r="K13" s="51"/>
      <c r="L13" s="51"/>
      <c r="M13" s="74"/>
      <c r="N13" s="62"/>
      <c r="O13" s="52" t="s">
        <v>28</v>
      </c>
      <c r="P13" s="49"/>
      <c r="Q13" s="53">
        <v>1</v>
      </c>
      <c r="R13" s="85">
        <f t="shared" si="1"/>
        <v>0.75</v>
      </c>
    </row>
    <row r="14" spans="1:19" ht="24.95" customHeight="1">
      <c r="A14" s="333"/>
      <c r="B14" s="62"/>
      <c r="C14" s="48"/>
      <c r="D14" s="49"/>
      <c r="E14" s="50"/>
      <c r="F14" s="51"/>
      <c r="G14" s="66"/>
      <c r="H14" s="70"/>
      <c r="I14" s="49"/>
      <c r="J14" s="51"/>
      <c r="K14" s="51"/>
      <c r="L14" s="51"/>
      <c r="M14" s="74"/>
      <c r="N14" s="62"/>
      <c r="O14" s="52" t="s">
        <v>35</v>
      </c>
      <c r="P14" s="49" t="s">
        <v>23</v>
      </c>
      <c r="Q14" s="53">
        <v>2</v>
      </c>
      <c r="R14" s="85">
        <f t="shared" si="1"/>
        <v>1.5</v>
      </c>
    </row>
    <row r="15" spans="1:19" ht="24.95" customHeight="1">
      <c r="A15" s="333"/>
      <c r="B15" s="62"/>
      <c r="C15" s="48"/>
      <c r="D15" s="49"/>
      <c r="E15" s="50"/>
      <c r="F15" s="51"/>
      <c r="G15" s="66"/>
      <c r="H15" s="70"/>
      <c r="I15" s="49"/>
      <c r="J15" s="51"/>
      <c r="K15" s="51"/>
      <c r="L15" s="51"/>
      <c r="M15" s="74"/>
      <c r="N15" s="62"/>
      <c r="O15" s="52" t="s">
        <v>25</v>
      </c>
      <c r="P15" s="49" t="s">
        <v>26</v>
      </c>
      <c r="Q15" s="53">
        <v>1</v>
      </c>
      <c r="R15" s="85">
        <f t="shared" si="1"/>
        <v>0.75</v>
      </c>
    </row>
    <row r="16" spans="1:19" ht="24.95" customHeight="1">
      <c r="A16" s="333"/>
      <c r="B16" s="62"/>
      <c r="C16" s="48"/>
      <c r="D16" s="49"/>
      <c r="E16" s="50"/>
      <c r="F16" s="51"/>
      <c r="G16" s="66"/>
      <c r="H16" s="70"/>
      <c r="I16" s="49"/>
      <c r="J16" s="51"/>
      <c r="K16" s="51"/>
      <c r="L16" s="51"/>
      <c r="M16" s="74"/>
      <c r="N16" s="62"/>
      <c r="O16" s="52" t="s">
        <v>45</v>
      </c>
      <c r="P16" s="49"/>
      <c r="Q16" s="53">
        <v>0.05</v>
      </c>
      <c r="R16" s="85">
        <f t="shared" si="1"/>
        <v>0.04</v>
      </c>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185</v>
      </c>
      <c r="C18" s="48" t="s">
        <v>188</v>
      </c>
      <c r="D18" s="49"/>
      <c r="E18" s="50">
        <v>5</v>
      </c>
      <c r="F18" s="51" t="s">
        <v>34</v>
      </c>
      <c r="G18" s="66"/>
      <c r="H18" s="70" t="s">
        <v>188</v>
      </c>
      <c r="I18" s="49"/>
      <c r="J18" s="51">
        <f>ROUNDUP(E18*0.75,2)</f>
        <v>3.75</v>
      </c>
      <c r="K18" s="51" t="s">
        <v>34</v>
      </c>
      <c r="L18" s="51"/>
      <c r="M18" s="74" t="e">
        <f>#REF!</f>
        <v>#REF!</v>
      </c>
      <c r="N18" s="62" t="s">
        <v>186</v>
      </c>
      <c r="O18" s="52" t="s">
        <v>44</v>
      </c>
      <c r="P18" s="49"/>
      <c r="Q18" s="53">
        <v>1</v>
      </c>
      <c r="R18" s="85">
        <f>ROUNDUP(Q18*0.75,2)</f>
        <v>0.75</v>
      </c>
    </row>
    <row r="19" spans="1:18" ht="24.95" customHeight="1">
      <c r="A19" s="333"/>
      <c r="B19" s="62"/>
      <c r="C19" s="48" t="s">
        <v>137</v>
      </c>
      <c r="D19" s="49"/>
      <c r="E19" s="50">
        <v>10</v>
      </c>
      <c r="F19" s="51" t="s">
        <v>34</v>
      </c>
      <c r="G19" s="66"/>
      <c r="H19" s="70" t="s">
        <v>137</v>
      </c>
      <c r="I19" s="49"/>
      <c r="J19" s="51">
        <f>ROUNDUP(E19*0.75,2)</f>
        <v>7.5</v>
      </c>
      <c r="K19" s="51" t="s">
        <v>34</v>
      </c>
      <c r="L19" s="51"/>
      <c r="M19" s="74" t="e">
        <f>ROUND(#REF!+(#REF!*10/100),2)</f>
        <v>#REF!</v>
      </c>
      <c r="N19" s="62" t="s">
        <v>187</v>
      </c>
      <c r="O19" s="52" t="s">
        <v>36</v>
      </c>
      <c r="P19" s="49"/>
      <c r="Q19" s="53">
        <v>20</v>
      </c>
      <c r="R19" s="85">
        <f>ROUNDUP(Q19*0.75,2)</f>
        <v>15</v>
      </c>
    </row>
    <row r="20" spans="1:18" ht="24.95" customHeight="1">
      <c r="A20" s="333"/>
      <c r="B20" s="62"/>
      <c r="C20" s="48" t="s">
        <v>95</v>
      </c>
      <c r="D20" s="49"/>
      <c r="E20" s="50">
        <v>10</v>
      </c>
      <c r="F20" s="51" t="s">
        <v>34</v>
      </c>
      <c r="G20" s="66" t="s">
        <v>96</v>
      </c>
      <c r="H20" s="70" t="s">
        <v>95</v>
      </c>
      <c r="I20" s="49"/>
      <c r="J20" s="51">
        <f>ROUNDUP(E20*0.75,2)</f>
        <v>7.5</v>
      </c>
      <c r="K20" s="51" t="s">
        <v>34</v>
      </c>
      <c r="L20" s="51" t="s">
        <v>96</v>
      </c>
      <c r="M20" s="74" t="e">
        <f>#REF!</f>
        <v>#REF!</v>
      </c>
      <c r="N20" s="62" t="s">
        <v>91</v>
      </c>
      <c r="O20" s="52" t="s">
        <v>27</v>
      </c>
      <c r="P20" s="49"/>
      <c r="Q20" s="53">
        <v>1</v>
      </c>
      <c r="R20" s="85">
        <f>ROUNDUP(Q20*0.75,2)</f>
        <v>0.75</v>
      </c>
    </row>
    <row r="21" spans="1:18" ht="24.95" customHeight="1">
      <c r="A21" s="333"/>
      <c r="B21" s="62"/>
      <c r="C21" s="48" t="s">
        <v>113</v>
      </c>
      <c r="D21" s="49"/>
      <c r="E21" s="50">
        <v>10</v>
      </c>
      <c r="F21" s="51" t="s">
        <v>34</v>
      </c>
      <c r="G21" s="66" t="s">
        <v>33</v>
      </c>
      <c r="H21" s="70" t="s">
        <v>113</v>
      </c>
      <c r="I21" s="49"/>
      <c r="J21" s="51">
        <f>ROUNDUP(E21*0.75,2)</f>
        <v>7.5</v>
      </c>
      <c r="K21" s="51" t="s">
        <v>34</v>
      </c>
      <c r="L21" s="51" t="s">
        <v>33</v>
      </c>
      <c r="M21" s="74" t="e">
        <f>#REF!</f>
        <v>#REF!</v>
      </c>
      <c r="N21" s="62" t="s">
        <v>18</v>
      </c>
      <c r="O21" s="52" t="s">
        <v>35</v>
      </c>
      <c r="P21" s="49" t="s">
        <v>23</v>
      </c>
      <c r="Q21" s="53">
        <v>1.5</v>
      </c>
      <c r="R21" s="85">
        <f>ROUNDUP(Q21*0.75,2)</f>
        <v>1.1300000000000001</v>
      </c>
    </row>
    <row r="22" spans="1:18" ht="24.95" customHeight="1">
      <c r="A22" s="333"/>
      <c r="B22" s="61"/>
      <c r="C22" s="42"/>
      <c r="D22" s="43"/>
      <c r="E22" s="44"/>
      <c r="F22" s="45"/>
      <c r="G22" s="65"/>
      <c r="H22" s="69"/>
      <c r="I22" s="43"/>
      <c r="J22" s="45"/>
      <c r="K22" s="45"/>
      <c r="L22" s="45"/>
      <c r="M22" s="73"/>
      <c r="N22" s="61"/>
      <c r="O22" s="46"/>
      <c r="P22" s="43"/>
      <c r="Q22" s="47"/>
      <c r="R22" s="84"/>
    </row>
    <row r="23" spans="1:18" ht="24.95" customHeight="1">
      <c r="A23" s="333"/>
      <c r="B23" s="62" t="s">
        <v>47</v>
      </c>
      <c r="C23" s="48" t="s">
        <v>110</v>
      </c>
      <c r="D23" s="49" t="s">
        <v>23</v>
      </c>
      <c r="E23" s="78">
        <v>0.1</v>
      </c>
      <c r="F23" s="51" t="s">
        <v>90</v>
      </c>
      <c r="G23" s="66" t="s">
        <v>111</v>
      </c>
      <c r="H23" s="70" t="s">
        <v>110</v>
      </c>
      <c r="I23" s="49" t="s">
        <v>23</v>
      </c>
      <c r="J23" s="51">
        <f>ROUNDUP(E23*0.75,2)</f>
        <v>0.08</v>
      </c>
      <c r="K23" s="51" t="s">
        <v>90</v>
      </c>
      <c r="L23" s="51" t="s">
        <v>111</v>
      </c>
      <c r="M23" s="74" t="e">
        <f>#REF!</f>
        <v>#REF!</v>
      </c>
      <c r="N23" s="62" t="s">
        <v>18</v>
      </c>
      <c r="O23" s="52" t="s">
        <v>36</v>
      </c>
      <c r="P23" s="49"/>
      <c r="Q23" s="53">
        <v>100</v>
      </c>
      <c r="R23" s="85">
        <f>ROUNDUP(Q23*0.75,2)</f>
        <v>75</v>
      </c>
    </row>
    <row r="24" spans="1:18" ht="24.95" customHeight="1">
      <c r="A24" s="333"/>
      <c r="B24" s="62"/>
      <c r="C24" s="48" t="s">
        <v>189</v>
      </c>
      <c r="D24" s="49"/>
      <c r="E24" s="50">
        <v>3</v>
      </c>
      <c r="F24" s="51" t="s">
        <v>34</v>
      </c>
      <c r="G24" s="66"/>
      <c r="H24" s="70" t="s">
        <v>189</v>
      </c>
      <c r="I24" s="49"/>
      <c r="J24" s="51">
        <f>ROUNDUP(E24*0.75,2)</f>
        <v>2.25</v>
      </c>
      <c r="K24" s="51" t="s">
        <v>34</v>
      </c>
      <c r="L24" s="51"/>
      <c r="M24" s="74" t="e">
        <f>ROUND(#REF!+(#REF!*40/100),2)</f>
        <v>#REF!</v>
      </c>
      <c r="N24" s="62"/>
      <c r="O24" s="52" t="s">
        <v>45</v>
      </c>
      <c r="P24" s="49"/>
      <c r="Q24" s="53">
        <v>0.1</v>
      </c>
      <c r="R24" s="85">
        <f>ROUNDUP(Q24*0.75,2)</f>
        <v>0.08</v>
      </c>
    </row>
    <row r="25" spans="1:18" ht="24.95" customHeight="1">
      <c r="A25" s="333"/>
      <c r="B25" s="62"/>
      <c r="C25" s="48"/>
      <c r="D25" s="49"/>
      <c r="E25" s="50"/>
      <c r="F25" s="51"/>
      <c r="G25" s="66"/>
      <c r="H25" s="70"/>
      <c r="I25" s="49"/>
      <c r="J25" s="51"/>
      <c r="K25" s="51"/>
      <c r="L25" s="51"/>
      <c r="M25" s="74"/>
      <c r="N25" s="62"/>
      <c r="O25" s="52" t="s">
        <v>35</v>
      </c>
      <c r="P25" s="49" t="s">
        <v>23</v>
      </c>
      <c r="Q25" s="53">
        <v>0.5</v>
      </c>
      <c r="R25" s="85">
        <f>ROUNDUP(Q25*0.75,2)</f>
        <v>0.38</v>
      </c>
    </row>
    <row r="26" spans="1:18" ht="24.95" customHeight="1" thickBot="1">
      <c r="A26" s="334"/>
      <c r="B26" s="63"/>
      <c r="C26" s="54"/>
      <c r="D26" s="55"/>
      <c r="E26" s="56"/>
      <c r="F26" s="57"/>
      <c r="G26" s="67"/>
      <c r="H26" s="71"/>
      <c r="I26" s="55"/>
      <c r="J26" s="57"/>
      <c r="K26" s="57"/>
      <c r="L26" s="57"/>
      <c r="M26" s="75"/>
      <c r="N26" s="63"/>
      <c r="O26" s="58"/>
      <c r="P26" s="55"/>
      <c r="Q26" s="59"/>
      <c r="R26" s="86"/>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190</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191</v>
      </c>
      <c r="C5" s="36" t="s">
        <v>194</v>
      </c>
      <c r="D5" s="37"/>
      <c r="E5" s="80">
        <v>0.5</v>
      </c>
      <c r="F5" s="39" t="s">
        <v>90</v>
      </c>
      <c r="G5" s="64" t="s">
        <v>53</v>
      </c>
      <c r="H5" s="68" t="s">
        <v>194</v>
      </c>
      <c r="I5" s="37"/>
      <c r="J5" s="39">
        <f>ROUNDUP(E5*0.75,2)</f>
        <v>0.38</v>
      </c>
      <c r="K5" s="39" t="s">
        <v>90</v>
      </c>
      <c r="L5" s="39" t="s">
        <v>53</v>
      </c>
      <c r="M5" s="72" t="e">
        <f>#REF!</f>
        <v>#REF!</v>
      </c>
      <c r="N5" s="60" t="s">
        <v>192</v>
      </c>
      <c r="O5" s="40" t="s">
        <v>13</v>
      </c>
      <c r="P5" s="37"/>
      <c r="Q5" s="41">
        <v>110</v>
      </c>
      <c r="R5" s="83">
        <f>ROUNDUP(Q5*0.75,2)</f>
        <v>82.5</v>
      </c>
    </row>
    <row r="6" spans="1:19" ht="24.95" customHeight="1">
      <c r="A6" s="333"/>
      <c r="B6" s="62"/>
      <c r="C6" s="48"/>
      <c r="D6" s="49"/>
      <c r="E6" s="50"/>
      <c r="F6" s="51"/>
      <c r="G6" s="66"/>
      <c r="H6" s="70"/>
      <c r="I6" s="49"/>
      <c r="J6" s="51"/>
      <c r="K6" s="51"/>
      <c r="L6" s="51"/>
      <c r="M6" s="74"/>
      <c r="N6" s="62" t="s">
        <v>193</v>
      </c>
      <c r="O6" s="52" t="s">
        <v>36</v>
      </c>
      <c r="P6" s="49"/>
      <c r="Q6" s="53">
        <v>1.5</v>
      </c>
      <c r="R6" s="85">
        <f>ROUNDUP(Q6*0.75,2)</f>
        <v>1.1300000000000001</v>
      </c>
    </row>
    <row r="7" spans="1:19" ht="24.95" customHeight="1">
      <c r="A7" s="333"/>
      <c r="B7" s="62"/>
      <c r="C7" s="48"/>
      <c r="D7" s="49"/>
      <c r="E7" s="50"/>
      <c r="F7" s="51"/>
      <c r="G7" s="66"/>
      <c r="H7" s="70"/>
      <c r="I7" s="49"/>
      <c r="J7" s="51"/>
      <c r="K7" s="51"/>
      <c r="L7" s="51"/>
      <c r="M7" s="74"/>
      <c r="N7" s="62" t="s">
        <v>18</v>
      </c>
      <c r="O7" s="52" t="s">
        <v>35</v>
      </c>
      <c r="P7" s="49" t="s">
        <v>23</v>
      </c>
      <c r="Q7" s="53">
        <v>1</v>
      </c>
      <c r="R7" s="85">
        <f>ROUNDUP(Q7*0.75,2)</f>
        <v>0.75</v>
      </c>
    </row>
    <row r="8" spans="1:19" ht="24.95" customHeight="1">
      <c r="A8" s="333"/>
      <c r="B8" s="61"/>
      <c r="C8" s="42"/>
      <c r="D8" s="43"/>
      <c r="E8" s="44"/>
      <c r="F8" s="45"/>
      <c r="G8" s="65"/>
      <c r="H8" s="69"/>
      <c r="I8" s="43"/>
      <c r="J8" s="45"/>
      <c r="K8" s="45"/>
      <c r="L8" s="45"/>
      <c r="M8" s="73"/>
      <c r="N8" s="61"/>
      <c r="O8" s="46"/>
      <c r="P8" s="43"/>
      <c r="Q8" s="47"/>
      <c r="R8" s="84"/>
    </row>
    <row r="9" spans="1:19" ht="24.95" customHeight="1">
      <c r="A9" s="333"/>
      <c r="B9" s="62" t="s">
        <v>195</v>
      </c>
      <c r="C9" s="48" t="s">
        <v>19</v>
      </c>
      <c r="D9" s="49"/>
      <c r="E9" s="50">
        <v>1</v>
      </c>
      <c r="F9" s="51" t="s">
        <v>21</v>
      </c>
      <c r="G9" s="66" t="s">
        <v>20</v>
      </c>
      <c r="H9" s="70" t="s">
        <v>19</v>
      </c>
      <c r="I9" s="49"/>
      <c r="J9" s="51">
        <f>ROUNDUP(E9*0.75,2)</f>
        <v>0.75</v>
      </c>
      <c r="K9" s="51" t="s">
        <v>21</v>
      </c>
      <c r="L9" s="51" t="s">
        <v>20</v>
      </c>
      <c r="M9" s="74" t="e">
        <f>#REF!</f>
        <v>#REF!</v>
      </c>
      <c r="N9" s="62" t="s">
        <v>196</v>
      </c>
      <c r="O9" s="52" t="s">
        <v>66</v>
      </c>
      <c r="P9" s="49"/>
      <c r="Q9" s="53">
        <v>0.5</v>
      </c>
      <c r="R9" s="85">
        <f>ROUNDUP(Q9*0.75,2)</f>
        <v>0.38</v>
      </c>
    </row>
    <row r="10" spans="1:19" ht="24.95" customHeight="1">
      <c r="A10" s="333"/>
      <c r="B10" s="62"/>
      <c r="C10" s="48" t="s">
        <v>198</v>
      </c>
      <c r="D10" s="49"/>
      <c r="E10" s="50">
        <v>0.5</v>
      </c>
      <c r="F10" s="51" t="s">
        <v>34</v>
      </c>
      <c r="G10" s="66"/>
      <c r="H10" s="70" t="s">
        <v>198</v>
      </c>
      <c r="I10" s="49"/>
      <c r="J10" s="51">
        <f>ROUNDUP(E10*0.75,2)</f>
        <v>0.38</v>
      </c>
      <c r="K10" s="51" t="s">
        <v>34</v>
      </c>
      <c r="L10" s="51"/>
      <c r="M10" s="74" t="e">
        <f>ROUND(#REF!+(#REF!*20/100),2)</f>
        <v>#REF!</v>
      </c>
      <c r="N10" s="62" t="s">
        <v>197</v>
      </c>
      <c r="O10" s="52" t="s">
        <v>36</v>
      </c>
      <c r="P10" s="49"/>
      <c r="Q10" s="53">
        <v>30</v>
      </c>
      <c r="R10" s="85">
        <f>ROUNDUP(Q10*0.75,2)</f>
        <v>22.5</v>
      </c>
    </row>
    <row r="11" spans="1:19" ht="24.95" customHeight="1">
      <c r="A11" s="333"/>
      <c r="B11" s="62"/>
      <c r="C11" s="48" t="s">
        <v>60</v>
      </c>
      <c r="D11" s="49"/>
      <c r="E11" s="50">
        <v>10</v>
      </c>
      <c r="F11" s="51" t="s">
        <v>34</v>
      </c>
      <c r="G11" s="66" t="s">
        <v>33</v>
      </c>
      <c r="H11" s="70" t="s">
        <v>60</v>
      </c>
      <c r="I11" s="49"/>
      <c r="J11" s="51">
        <f>ROUNDUP(E11*0.75,2)</f>
        <v>7.5</v>
      </c>
      <c r="K11" s="51" t="s">
        <v>34</v>
      </c>
      <c r="L11" s="51" t="s">
        <v>33</v>
      </c>
      <c r="M11" s="74" t="e">
        <f>#REF!</f>
        <v>#REF!</v>
      </c>
      <c r="N11" s="62" t="s">
        <v>18</v>
      </c>
      <c r="O11" s="52" t="s">
        <v>35</v>
      </c>
      <c r="P11" s="49" t="s">
        <v>23</v>
      </c>
      <c r="Q11" s="53">
        <v>2</v>
      </c>
      <c r="R11" s="85">
        <f>ROUNDUP(Q11*0.75,2)</f>
        <v>1.5</v>
      </c>
    </row>
    <row r="12" spans="1:19" ht="24.95" customHeight="1">
      <c r="A12" s="333"/>
      <c r="B12" s="62"/>
      <c r="C12" s="48"/>
      <c r="D12" s="49"/>
      <c r="E12" s="50"/>
      <c r="F12" s="51"/>
      <c r="G12" s="66"/>
      <c r="H12" s="70"/>
      <c r="I12" s="49"/>
      <c r="J12" s="51"/>
      <c r="K12" s="51"/>
      <c r="L12" s="51"/>
      <c r="M12" s="74"/>
      <c r="N12" s="62"/>
      <c r="O12" s="52" t="s">
        <v>66</v>
      </c>
      <c r="P12" s="49"/>
      <c r="Q12" s="53">
        <v>1.5</v>
      </c>
      <c r="R12" s="85">
        <f>ROUNDUP(Q12*0.75,2)</f>
        <v>1.1300000000000001</v>
      </c>
    </row>
    <row r="13" spans="1:19" ht="24.95" customHeight="1">
      <c r="A13" s="333"/>
      <c r="B13" s="62"/>
      <c r="C13" s="48"/>
      <c r="D13" s="49"/>
      <c r="E13" s="50"/>
      <c r="F13" s="51"/>
      <c r="G13" s="66"/>
      <c r="H13" s="70"/>
      <c r="I13" s="49"/>
      <c r="J13" s="51"/>
      <c r="K13" s="51"/>
      <c r="L13" s="51"/>
      <c r="M13" s="74"/>
      <c r="N13" s="62"/>
      <c r="O13" s="52" t="s">
        <v>27</v>
      </c>
      <c r="P13" s="49"/>
      <c r="Q13" s="53">
        <v>1.5</v>
      </c>
      <c r="R13" s="85">
        <f>ROUNDUP(Q13*0.75,2)</f>
        <v>1.1300000000000001</v>
      </c>
    </row>
    <row r="14" spans="1:19" ht="24.95" customHeight="1">
      <c r="A14" s="333"/>
      <c r="B14" s="61"/>
      <c r="C14" s="42"/>
      <c r="D14" s="43"/>
      <c r="E14" s="44"/>
      <c r="F14" s="45"/>
      <c r="G14" s="65"/>
      <c r="H14" s="69"/>
      <c r="I14" s="43"/>
      <c r="J14" s="45"/>
      <c r="K14" s="45"/>
      <c r="L14" s="45"/>
      <c r="M14" s="73"/>
      <c r="N14" s="61"/>
      <c r="O14" s="46"/>
      <c r="P14" s="43"/>
      <c r="Q14" s="47"/>
      <c r="R14" s="84"/>
    </row>
    <row r="15" spans="1:19" ht="24.95" customHeight="1">
      <c r="A15" s="333"/>
      <c r="B15" s="62" t="s">
        <v>199</v>
      </c>
      <c r="C15" s="48" t="s">
        <v>128</v>
      </c>
      <c r="D15" s="49" t="s">
        <v>129</v>
      </c>
      <c r="E15" s="77">
        <v>0.5</v>
      </c>
      <c r="F15" s="51" t="s">
        <v>40</v>
      </c>
      <c r="G15" s="66"/>
      <c r="H15" s="70" t="s">
        <v>128</v>
      </c>
      <c r="I15" s="49" t="s">
        <v>129</v>
      </c>
      <c r="J15" s="51">
        <f>ROUNDUP(E15*0.75,2)</f>
        <v>0.38</v>
      </c>
      <c r="K15" s="51" t="s">
        <v>40</v>
      </c>
      <c r="L15" s="51"/>
      <c r="M15" s="74" t="e">
        <f>#REF!</f>
        <v>#REF!</v>
      </c>
      <c r="N15" s="62" t="s">
        <v>62</v>
      </c>
      <c r="O15" s="52" t="s">
        <v>24</v>
      </c>
      <c r="P15" s="49"/>
      <c r="Q15" s="53">
        <v>1</v>
      </c>
      <c r="R15" s="85">
        <f>ROUNDUP(Q15*0.75,2)</f>
        <v>0.75</v>
      </c>
    </row>
    <row r="16" spans="1:19" ht="24.95" customHeight="1">
      <c r="A16" s="333"/>
      <c r="B16" s="62"/>
      <c r="C16" s="48" t="s">
        <v>112</v>
      </c>
      <c r="D16" s="49"/>
      <c r="E16" s="50">
        <v>30</v>
      </c>
      <c r="F16" s="51" t="s">
        <v>34</v>
      </c>
      <c r="G16" s="66" t="s">
        <v>33</v>
      </c>
      <c r="H16" s="70" t="s">
        <v>112</v>
      </c>
      <c r="I16" s="49"/>
      <c r="J16" s="51">
        <f>ROUNDUP(E16*0.75,2)</f>
        <v>22.5</v>
      </c>
      <c r="K16" s="51" t="s">
        <v>34</v>
      </c>
      <c r="L16" s="51" t="s">
        <v>33</v>
      </c>
      <c r="M16" s="74" t="e">
        <f>#REF!</f>
        <v>#REF!</v>
      </c>
      <c r="N16" s="62" t="s">
        <v>200</v>
      </c>
      <c r="O16" s="52" t="s">
        <v>44</v>
      </c>
      <c r="P16" s="49"/>
      <c r="Q16" s="53">
        <v>2</v>
      </c>
      <c r="R16" s="85">
        <f>ROUNDUP(Q16*0.75,2)</f>
        <v>1.5</v>
      </c>
    </row>
    <row r="17" spans="1:18" ht="24.95" customHeight="1">
      <c r="A17" s="333"/>
      <c r="B17" s="62"/>
      <c r="C17" s="48" t="s">
        <v>99</v>
      </c>
      <c r="D17" s="49"/>
      <c r="E17" s="50">
        <v>5</v>
      </c>
      <c r="F17" s="51" t="s">
        <v>34</v>
      </c>
      <c r="G17" s="66" t="s">
        <v>33</v>
      </c>
      <c r="H17" s="70" t="s">
        <v>99</v>
      </c>
      <c r="I17" s="49"/>
      <c r="J17" s="51">
        <f>ROUNDUP(E17*0.75,2)</f>
        <v>3.75</v>
      </c>
      <c r="K17" s="51" t="s">
        <v>34</v>
      </c>
      <c r="L17" s="51" t="s">
        <v>33</v>
      </c>
      <c r="M17" s="74" t="e">
        <f>#REF!</f>
        <v>#REF!</v>
      </c>
      <c r="N17" s="62" t="s">
        <v>201</v>
      </c>
      <c r="O17" s="52" t="s">
        <v>45</v>
      </c>
      <c r="P17" s="49"/>
      <c r="Q17" s="53">
        <v>0.1</v>
      </c>
      <c r="R17" s="85">
        <f>ROUNDUP(Q17*0.75,2)</f>
        <v>0.08</v>
      </c>
    </row>
    <row r="18" spans="1:18" ht="24.95" customHeight="1">
      <c r="A18" s="333"/>
      <c r="B18" s="62"/>
      <c r="C18" s="48"/>
      <c r="D18" s="49"/>
      <c r="E18" s="50"/>
      <c r="F18" s="51"/>
      <c r="G18" s="66"/>
      <c r="H18" s="70"/>
      <c r="I18" s="49"/>
      <c r="J18" s="51"/>
      <c r="K18" s="51"/>
      <c r="L18" s="51"/>
      <c r="M18" s="74"/>
      <c r="N18" s="62" t="s">
        <v>18</v>
      </c>
      <c r="O18" s="52" t="s">
        <v>46</v>
      </c>
      <c r="P18" s="49"/>
      <c r="Q18" s="53">
        <v>0.01</v>
      </c>
      <c r="R18" s="85">
        <f>ROUNDUP(Q18*0.75,2)</f>
        <v>0.01</v>
      </c>
    </row>
    <row r="19" spans="1:18" ht="24.95" customHeight="1">
      <c r="A19" s="333"/>
      <c r="B19" s="62"/>
      <c r="C19" s="48"/>
      <c r="D19" s="49"/>
      <c r="E19" s="50"/>
      <c r="F19" s="51"/>
      <c r="G19" s="66"/>
      <c r="H19" s="70"/>
      <c r="I19" s="49"/>
      <c r="J19" s="51"/>
      <c r="K19" s="51"/>
      <c r="L19" s="51"/>
      <c r="M19" s="74"/>
      <c r="N19" s="62"/>
      <c r="O19" s="52" t="s">
        <v>35</v>
      </c>
      <c r="P19" s="49" t="s">
        <v>23</v>
      </c>
      <c r="Q19" s="53">
        <v>0.5</v>
      </c>
      <c r="R19" s="85">
        <f>ROUNDUP(Q19*0.75,2)</f>
        <v>0.38</v>
      </c>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202</v>
      </c>
      <c r="C21" s="48" t="s">
        <v>50</v>
      </c>
      <c r="D21" s="49"/>
      <c r="E21" s="50">
        <v>20</v>
      </c>
      <c r="F21" s="51" t="s">
        <v>34</v>
      </c>
      <c r="G21" s="66"/>
      <c r="H21" s="70" t="s">
        <v>50</v>
      </c>
      <c r="I21" s="49"/>
      <c r="J21" s="51">
        <f>ROUNDUP(E21*0.75,2)</f>
        <v>15</v>
      </c>
      <c r="K21" s="51" t="s">
        <v>34</v>
      </c>
      <c r="L21" s="51"/>
      <c r="M21" s="74" t="e">
        <f>#REF!</f>
        <v>#REF!</v>
      </c>
      <c r="N21" s="62" t="s">
        <v>18</v>
      </c>
      <c r="O21" s="52" t="s">
        <v>36</v>
      </c>
      <c r="P21" s="49"/>
      <c r="Q21" s="53">
        <v>100</v>
      </c>
      <c r="R21" s="85">
        <f>ROUNDUP(Q21*0.75,2)</f>
        <v>75</v>
      </c>
    </row>
    <row r="22" spans="1:18" ht="24.95" customHeight="1">
      <c r="A22" s="333"/>
      <c r="B22" s="62"/>
      <c r="C22" s="48" t="s">
        <v>48</v>
      </c>
      <c r="D22" s="49"/>
      <c r="E22" s="50">
        <v>0.5</v>
      </c>
      <c r="F22" s="51" t="s">
        <v>34</v>
      </c>
      <c r="G22" s="66" t="s">
        <v>49</v>
      </c>
      <c r="H22" s="70" t="s">
        <v>48</v>
      </c>
      <c r="I22" s="49"/>
      <c r="J22" s="51">
        <f>ROUNDUP(E22*0.75,2)</f>
        <v>0.38</v>
      </c>
      <c r="K22" s="51" t="s">
        <v>34</v>
      </c>
      <c r="L22" s="51" t="s">
        <v>49</v>
      </c>
      <c r="M22" s="74" t="e">
        <f>#REF!</f>
        <v>#REF!</v>
      </c>
      <c r="N22" s="62"/>
      <c r="O22" s="52" t="s">
        <v>29</v>
      </c>
      <c r="P22" s="49"/>
      <c r="Q22" s="53">
        <v>3</v>
      </c>
      <c r="R22" s="85">
        <f>ROUNDUP(Q22*0.75,2)</f>
        <v>2.25</v>
      </c>
    </row>
    <row r="23" spans="1:18" ht="24.95" customHeight="1">
      <c r="A23" s="333"/>
      <c r="B23" s="62"/>
      <c r="C23" s="48" t="s">
        <v>150</v>
      </c>
      <c r="D23" s="49"/>
      <c r="E23" s="78">
        <v>0.1</v>
      </c>
      <c r="F23" s="51" t="s">
        <v>151</v>
      </c>
      <c r="G23" s="66" t="s">
        <v>53</v>
      </c>
      <c r="H23" s="70" t="s">
        <v>150</v>
      </c>
      <c r="I23" s="49"/>
      <c r="J23" s="51">
        <f>ROUNDUP(E23*0.75,2)</f>
        <v>0.08</v>
      </c>
      <c r="K23" s="51" t="s">
        <v>151</v>
      </c>
      <c r="L23" s="51" t="s">
        <v>53</v>
      </c>
      <c r="M23" s="74" t="e">
        <f>#REF!</f>
        <v>#REF!</v>
      </c>
      <c r="N23" s="62"/>
      <c r="O23" s="52"/>
      <c r="P23" s="49"/>
      <c r="Q23" s="53"/>
      <c r="R23" s="85"/>
    </row>
    <row r="24" spans="1:18" ht="24.95" customHeight="1" thickBot="1">
      <c r="A24" s="334"/>
      <c r="B24" s="63"/>
      <c r="C24" s="54"/>
      <c r="D24" s="55"/>
      <c r="E24" s="56"/>
      <c r="F24" s="57"/>
      <c r="G24" s="67"/>
      <c r="H24" s="71"/>
      <c r="I24" s="55"/>
      <c r="J24" s="57"/>
      <c r="K24" s="57"/>
      <c r="L24" s="57"/>
      <c r="M24" s="75"/>
      <c r="N24" s="63"/>
      <c r="O24" s="58"/>
      <c r="P24" s="55"/>
      <c r="Q24" s="59"/>
      <c r="R24" s="86"/>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274</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13</v>
      </c>
      <c r="C5" s="36"/>
      <c r="D5" s="37"/>
      <c r="E5" s="38"/>
      <c r="F5" s="39"/>
      <c r="G5" s="64"/>
      <c r="H5" s="68"/>
      <c r="I5" s="37"/>
      <c r="J5" s="39"/>
      <c r="K5" s="39"/>
      <c r="L5" s="39"/>
      <c r="M5" s="72"/>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216</v>
      </c>
      <c r="C7" s="48" t="s">
        <v>19</v>
      </c>
      <c r="D7" s="49"/>
      <c r="E7" s="50">
        <v>1</v>
      </c>
      <c r="F7" s="51" t="s">
        <v>21</v>
      </c>
      <c r="G7" s="66" t="s">
        <v>20</v>
      </c>
      <c r="H7" s="70" t="s">
        <v>19</v>
      </c>
      <c r="I7" s="49"/>
      <c r="J7" s="51">
        <f>ROUNDUP(E7*0.75,2)</f>
        <v>0.75</v>
      </c>
      <c r="K7" s="51" t="s">
        <v>21</v>
      </c>
      <c r="L7" s="51" t="s">
        <v>20</v>
      </c>
      <c r="M7" s="74" t="e">
        <f>#REF!</f>
        <v>#REF!</v>
      </c>
      <c r="N7" s="62" t="s">
        <v>275</v>
      </c>
      <c r="O7" s="52" t="s">
        <v>114</v>
      </c>
      <c r="P7" s="49"/>
      <c r="Q7" s="53">
        <v>3</v>
      </c>
      <c r="R7" s="85">
        <f t="shared" ref="R7:R12" si="0">ROUNDUP(Q7*0.75,2)</f>
        <v>2.25</v>
      </c>
    </row>
    <row r="8" spans="1:19" ht="24.95" customHeight="1">
      <c r="A8" s="333"/>
      <c r="B8" s="62"/>
      <c r="C8" s="48" t="s">
        <v>88</v>
      </c>
      <c r="D8" s="49"/>
      <c r="E8" s="50">
        <v>10</v>
      </c>
      <c r="F8" s="51" t="s">
        <v>34</v>
      </c>
      <c r="G8" s="66"/>
      <c r="H8" s="70" t="s">
        <v>88</v>
      </c>
      <c r="I8" s="49"/>
      <c r="J8" s="51">
        <f>ROUNDUP(E8*0.75,2)</f>
        <v>7.5</v>
      </c>
      <c r="K8" s="51" t="s">
        <v>34</v>
      </c>
      <c r="L8" s="51"/>
      <c r="M8" s="74"/>
      <c r="N8" s="62" t="s">
        <v>217</v>
      </c>
      <c r="O8" s="52" t="s">
        <v>24</v>
      </c>
      <c r="P8" s="49"/>
      <c r="Q8" s="53">
        <v>3</v>
      </c>
      <c r="R8" s="85">
        <f t="shared" si="0"/>
        <v>2.25</v>
      </c>
    </row>
    <row r="9" spans="1:19" ht="24.95" customHeight="1">
      <c r="A9" s="333"/>
      <c r="B9" s="62"/>
      <c r="C9" s="48"/>
      <c r="D9" s="49"/>
      <c r="E9" s="50"/>
      <c r="F9" s="51"/>
      <c r="G9" s="66"/>
      <c r="H9" s="70"/>
      <c r="I9" s="49"/>
      <c r="J9" s="51"/>
      <c r="K9" s="51"/>
      <c r="L9" s="51"/>
      <c r="M9" s="74"/>
      <c r="N9" s="62" t="s">
        <v>18</v>
      </c>
      <c r="O9" s="52" t="s">
        <v>36</v>
      </c>
      <c r="P9" s="49"/>
      <c r="Q9" s="53">
        <v>10</v>
      </c>
      <c r="R9" s="85">
        <f t="shared" si="0"/>
        <v>7.5</v>
      </c>
    </row>
    <row r="10" spans="1:19" ht="24.95" customHeight="1">
      <c r="A10" s="333"/>
      <c r="B10" s="62"/>
      <c r="C10" s="48"/>
      <c r="D10" s="49"/>
      <c r="E10" s="50"/>
      <c r="F10" s="51"/>
      <c r="G10" s="66"/>
      <c r="H10" s="70"/>
      <c r="I10" s="49"/>
      <c r="J10" s="51"/>
      <c r="K10" s="51"/>
      <c r="L10" s="51"/>
      <c r="M10" s="74"/>
      <c r="N10" s="62"/>
      <c r="O10" s="52" t="s">
        <v>27</v>
      </c>
      <c r="P10" s="49"/>
      <c r="Q10" s="53">
        <v>2</v>
      </c>
      <c r="R10" s="85">
        <f t="shared" si="0"/>
        <v>1.5</v>
      </c>
    </row>
    <row r="11" spans="1:19" ht="24.95" customHeight="1">
      <c r="A11" s="333"/>
      <c r="B11" s="62"/>
      <c r="C11" s="48"/>
      <c r="D11" s="49"/>
      <c r="E11" s="50"/>
      <c r="F11" s="51"/>
      <c r="G11" s="66"/>
      <c r="H11" s="70"/>
      <c r="I11" s="49"/>
      <c r="J11" s="51"/>
      <c r="K11" s="51"/>
      <c r="L11" s="51"/>
      <c r="M11" s="74"/>
      <c r="N11" s="62"/>
      <c r="O11" s="52" t="s">
        <v>35</v>
      </c>
      <c r="P11" s="49" t="s">
        <v>23</v>
      </c>
      <c r="Q11" s="53">
        <v>1.5</v>
      </c>
      <c r="R11" s="85">
        <f t="shared" si="0"/>
        <v>1.1300000000000001</v>
      </c>
    </row>
    <row r="12" spans="1:19" ht="24.95" customHeight="1">
      <c r="A12" s="333"/>
      <c r="B12" s="62"/>
      <c r="C12" s="48"/>
      <c r="D12" s="49"/>
      <c r="E12" s="50"/>
      <c r="F12" s="51"/>
      <c r="G12" s="66"/>
      <c r="H12" s="70"/>
      <c r="I12" s="49"/>
      <c r="J12" s="51"/>
      <c r="K12" s="51"/>
      <c r="L12" s="51"/>
      <c r="M12" s="74"/>
      <c r="N12" s="62"/>
      <c r="O12" s="52" t="s">
        <v>28</v>
      </c>
      <c r="P12" s="49"/>
      <c r="Q12" s="53">
        <v>1.5</v>
      </c>
      <c r="R12" s="85">
        <f t="shared" si="0"/>
        <v>1.1300000000000001</v>
      </c>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218</v>
      </c>
      <c r="C14" s="48" t="s">
        <v>63</v>
      </c>
      <c r="D14" s="49"/>
      <c r="E14" s="50">
        <v>10</v>
      </c>
      <c r="F14" s="51" t="s">
        <v>34</v>
      </c>
      <c r="G14" s="66" t="s">
        <v>58</v>
      </c>
      <c r="H14" s="70" t="s">
        <v>63</v>
      </c>
      <c r="I14" s="49"/>
      <c r="J14" s="51">
        <f t="shared" ref="J14:J19" si="1">ROUNDUP(E14*0.75,2)</f>
        <v>7.5</v>
      </c>
      <c r="K14" s="51" t="s">
        <v>34</v>
      </c>
      <c r="L14" s="51" t="s">
        <v>58</v>
      </c>
      <c r="M14" s="74" t="e">
        <f>#REF!</f>
        <v>#REF!</v>
      </c>
      <c r="N14" s="62" t="s">
        <v>219</v>
      </c>
      <c r="O14" s="52" t="s">
        <v>66</v>
      </c>
      <c r="P14" s="49"/>
      <c r="Q14" s="53">
        <v>0.5</v>
      </c>
      <c r="R14" s="85">
        <f>ROUNDUP(Q14*0.75,2)</f>
        <v>0.38</v>
      </c>
    </row>
    <row r="15" spans="1:19" ht="24.95" customHeight="1">
      <c r="A15" s="333"/>
      <c r="B15" s="62"/>
      <c r="C15" s="48" t="s">
        <v>177</v>
      </c>
      <c r="D15" s="49"/>
      <c r="E15" s="50">
        <v>10</v>
      </c>
      <c r="F15" s="51" t="s">
        <v>34</v>
      </c>
      <c r="G15" s="66" t="s">
        <v>58</v>
      </c>
      <c r="H15" s="70" t="s">
        <v>177</v>
      </c>
      <c r="I15" s="49"/>
      <c r="J15" s="51">
        <f t="shared" si="1"/>
        <v>7.5</v>
      </c>
      <c r="K15" s="51" t="s">
        <v>34</v>
      </c>
      <c r="L15" s="51" t="s">
        <v>58</v>
      </c>
      <c r="M15" s="74" t="e">
        <f>#REF!</f>
        <v>#REF!</v>
      </c>
      <c r="N15" s="62" t="s">
        <v>276</v>
      </c>
      <c r="O15" s="52" t="s">
        <v>44</v>
      </c>
      <c r="P15" s="49"/>
      <c r="Q15" s="53">
        <v>2</v>
      </c>
      <c r="R15" s="85">
        <f>ROUNDUP(Q15*0.75,2)</f>
        <v>1.5</v>
      </c>
    </row>
    <row r="16" spans="1:19" ht="24.95" customHeight="1">
      <c r="A16" s="333"/>
      <c r="B16" s="62"/>
      <c r="C16" s="48" t="s">
        <v>135</v>
      </c>
      <c r="D16" s="49"/>
      <c r="E16" s="50">
        <v>20</v>
      </c>
      <c r="F16" s="51" t="s">
        <v>34</v>
      </c>
      <c r="G16" s="66"/>
      <c r="H16" s="70" t="s">
        <v>135</v>
      </c>
      <c r="I16" s="49"/>
      <c r="J16" s="51">
        <f t="shared" si="1"/>
        <v>15</v>
      </c>
      <c r="K16" s="51" t="s">
        <v>34</v>
      </c>
      <c r="L16" s="51"/>
      <c r="M16" s="74" t="e">
        <f>ROUND(#REF!+(#REF!*6/100),2)</f>
        <v>#REF!</v>
      </c>
      <c r="N16" s="62" t="s">
        <v>277</v>
      </c>
      <c r="O16" s="52" t="s">
        <v>66</v>
      </c>
      <c r="P16" s="49"/>
      <c r="Q16" s="53">
        <v>1.5</v>
      </c>
      <c r="R16" s="85">
        <f>ROUNDUP(Q16*0.75,2)</f>
        <v>1.1300000000000001</v>
      </c>
    </row>
    <row r="17" spans="1:18" ht="24.95" customHeight="1">
      <c r="A17" s="333"/>
      <c r="B17" s="62"/>
      <c r="C17" s="48" t="s">
        <v>99</v>
      </c>
      <c r="D17" s="49"/>
      <c r="E17" s="50">
        <v>5</v>
      </c>
      <c r="F17" s="51" t="s">
        <v>34</v>
      </c>
      <c r="G17" s="66" t="s">
        <v>33</v>
      </c>
      <c r="H17" s="70" t="s">
        <v>99</v>
      </c>
      <c r="I17" s="49"/>
      <c r="J17" s="51">
        <f t="shared" si="1"/>
        <v>3.75</v>
      </c>
      <c r="K17" s="51" t="s">
        <v>34</v>
      </c>
      <c r="L17" s="51" t="s">
        <v>33</v>
      </c>
      <c r="M17" s="74" t="e">
        <f>#REF!</f>
        <v>#REF!</v>
      </c>
      <c r="N17" s="62" t="s">
        <v>18</v>
      </c>
      <c r="O17" s="52" t="s">
        <v>27</v>
      </c>
      <c r="P17" s="49"/>
      <c r="Q17" s="53">
        <v>1.5</v>
      </c>
      <c r="R17" s="85">
        <f>ROUNDUP(Q17*0.75,2)</f>
        <v>1.1300000000000001</v>
      </c>
    </row>
    <row r="18" spans="1:18" ht="24.95" customHeight="1">
      <c r="A18" s="333"/>
      <c r="B18" s="62"/>
      <c r="C18" s="48" t="s">
        <v>42</v>
      </c>
      <c r="D18" s="49"/>
      <c r="E18" s="50">
        <v>5</v>
      </c>
      <c r="F18" s="51" t="s">
        <v>34</v>
      </c>
      <c r="G18" s="66"/>
      <c r="H18" s="70" t="s">
        <v>42</v>
      </c>
      <c r="I18" s="49"/>
      <c r="J18" s="51">
        <f t="shared" si="1"/>
        <v>3.75</v>
      </c>
      <c r="K18" s="51" t="s">
        <v>34</v>
      </c>
      <c r="L18" s="51"/>
      <c r="M18" s="74"/>
      <c r="N18" s="62"/>
      <c r="O18" s="52" t="s">
        <v>35</v>
      </c>
      <c r="P18" s="49" t="s">
        <v>23</v>
      </c>
      <c r="Q18" s="53">
        <v>1</v>
      </c>
      <c r="R18" s="85">
        <f>ROUNDUP(Q18*0.75,2)</f>
        <v>0.75</v>
      </c>
    </row>
    <row r="19" spans="1:18" ht="24.95" customHeight="1">
      <c r="A19" s="333"/>
      <c r="B19" s="62"/>
      <c r="C19" s="48" t="s">
        <v>115</v>
      </c>
      <c r="D19" s="49"/>
      <c r="E19" s="50">
        <v>2</v>
      </c>
      <c r="F19" s="51" t="s">
        <v>34</v>
      </c>
      <c r="G19" s="66"/>
      <c r="H19" s="70" t="s">
        <v>115</v>
      </c>
      <c r="I19" s="49"/>
      <c r="J19" s="51">
        <f t="shared" si="1"/>
        <v>1.5</v>
      </c>
      <c r="K19" s="51" t="s">
        <v>34</v>
      </c>
      <c r="L19" s="51"/>
      <c r="M19" s="74" t="e">
        <f>#REF!</f>
        <v>#REF!</v>
      </c>
      <c r="N19" s="62"/>
      <c r="O19" s="52"/>
      <c r="P19" s="49"/>
      <c r="Q19" s="53"/>
      <c r="R19" s="85"/>
    </row>
    <row r="20" spans="1:18" ht="24.95" customHeight="1">
      <c r="A20" s="333"/>
      <c r="B20" s="61"/>
      <c r="C20" s="42"/>
      <c r="D20" s="43"/>
      <c r="E20" s="44"/>
      <c r="F20" s="45"/>
      <c r="G20" s="65"/>
      <c r="H20" s="69"/>
      <c r="I20" s="43"/>
      <c r="J20" s="45"/>
      <c r="K20" s="45"/>
      <c r="L20" s="45"/>
      <c r="M20" s="73"/>
      <c r="N20" s="61"/>
      <c r="O20" s="46"/>
      <c r="P20" s="43"/>
      <c r="Q20" s="47"/>
      <c r="R20" s="84"/>
    </row>
    <row r="21" spans="1:18" ht="24.95" customHeight="1">
      <c r="A21" s="333"/>
      <c r="B21" s="62" t="s">
        <v>69</v>
      </c>
      <c r="C21" s="48" t="s">
        <v>70</v>
      </c>
      <c r="D21" s="49"/>
      <c r="E21" s="50">
        <v>20</v>
      </c>
      <c r="F21" s="51" t="s">
        <v>34</v>
      </c>
      <c r="G21" s="66" t="s">
        <v>33</v>
      </c>
      <c r="H21" s="70" t="s">
        <v>70</v>
      </c>
      <c r="I21" s="49"/>
      <c r="J21" s="51">
        <f>ROUNDUP(E21*0.75,2)</f>
        <v>15</v>
      </c>
      <c r="K21" s="51" t="s">
        <v>34</v>
      </c>
      <c r="L21" s="51" t="s">
        <v>33</v>
      </c>
      <c r="M21" s="74" t="e">
        <f>#REF!</f>
        <v>#REF!</v>
      </c>
      <c r="N21" s="62" t="s">
        <v>18</v>
      </c>
      <c r="O21" s="52" t="s">
        <v>36</v>
      </c>
      <c r="P21" s="49"/>
      <c r="Q21" s="53">
        <v>100</v>
      </c>
      <c r="R21" s="85">
        <f>ROUNDUP(Q21*0.75,2)</f>
        <v>75</v>
      </c>
    </row>
    <row r="22" spans="1:18" ht="24.95" customHeight="1">
      <c r="A22" s="333"/>
      <c r="B22" s="62"/>
      <c r="C22" s="48" t="s">
        <v>48</v>
      </c>
      <c r="D22" s="49"/>
      <c r="E22" s="50">
        <v>0.5</v>
      </c>
      <c r="F22" s="51" t="s">
        <v>34</v>
      </c>
      <c r="G22" s="66" t="s">
        <v>49</v>
      </c>
      <c r="H22" s="70" t="s">
        <v>48</v>
      </c>
      <c r="I22" s="49"/>
      <c r="J22" s="51">
        <f>ROUNDUP(E22*0.75,2)</f>
        <v>0.38</v>
      </c>
      <c r="K22" s="51" t="s">
        <v>34</v>
      </c>
      <c r="L22" s="51" t="s">
        <v>49</v>
      </c>
      <c r="M22" s="74" t="e">
        <f>#REF!</f>
        <v>#REF!</v>
      </c>
      <c r="N22" s="62"/>
      <c r="O22" s="52" t="s">
        <v>29</v>
      </c>
      <c r="P22" s="49"/>
      <c r="Q22" s="53">
        <v>3</v>
      </c>
      <c r="R22" s="85">
        <f>ROUNDUP(Q22*0.75,2)</f>
        <v>2.25</v>
      </c>
    </row>
    <row r="23" spans="1:18" ht="24.95" customHeight="1">
      <c r="A23" s="333"/>
      <c r="B23" s="61"/>
      <c r="C23" s="42"/>
      <c r="D23" s="43"/>
      <c r="E23" s="44"/>
      <c r="F23" s="45"/>
      <c r="G23" s="65"/>
      <c r="H23" s="69"/>
      <c r="I23" s="43"/>
      <c r="J23" s="45"/>
      <c r="K23" s="45"/>
      <c r="L23" s="45"/>
      <c r="M23" s="73"/>
      <c r="N23" s="61"/>
      <c r="O23" s="46"/>
      <c r="P23" s="43"/>
      <c r="Q23" s="47"/>
      <c r="R23" s="84"/>
    </row>
    <row r="24" spans="1:18" ht="24.95" customHeight="1">
      <c r="A24" s="333"/>
      <c r="B24" s="62" t="s">
        <v>103</v>
      </c>
      <c r="C24" s="48" t="s">
        <v>289</v>
      </c>
      <c r="D24" s="49"/>
      <c r="E24" s="50">
        <v>20</v>
      </c>
      <c r="F24" s="51" t="s">
        <v>34</v>
      </c>
      <c r="G24" s="66" t="s">
        <v>104</v>
      </c>
      <c r="H24" s="70" t="s">
        <v>289</v>
      </c>
      <c r="I24" s="49"/>
      <c r="J24" s="51">
        <f>ROUNDUP(E24*0.75,2)</f>
        <v>15</v>
      </c>
      <c r="K24" s="51" t="s">
        <v>34</v>
      </c>
      <c r="L24" s="51" t="s">
        <v>104</v>
      </c>
      <c r="M24" s="74" t="e">
        <f>#REF!</f>
        <v>#REF!</v>
      </c>
      <c r="N24" s="62"/>
      <c r="O24" s="52"/>
      <c r="P24" s="49"/>
      <c r="Q24" s="53"/>
      <c r="R24" s="85"/>
    </row>
    <row r="25" spans="1:18" ht="24.95" customHeight="1" thickBot="1">
      <c r="A25" s="334"/>
      <c r="B25" s="63"/>
      <c r="C25" s="54"/>
      <c r="D25" s="55"/>
      <c r="E25" s="56"/>
      <c r="F25" s="57"/>
      <c r="G25" s="67"/>
      <c r="H25" s="71"/>
      <c r="I25" s="55"/>
      <c r="J25" s="57"/>
      <c r="K25" s="57"/>
      <c r="L25" s="57"/>
      <c r="M25" s="75"/>
      <c r="N25" s="63"/>
      <c r="O25" s="58"/>
      <c r="P25" s="55"/>
      <c r="Q25" s="59"/>
      <c r="R25" s="86"/>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328"/>
      <c r="I1" s="328"/>
      <c r="J1" s="329"/>
      <c r="K1" s="329"/>
      <c r="L1" s="329"/>
      <c r="M1" s="329"/>
      <c r="N1" s="329"/>
      <c r="O1" s="2"/>
      <c r="P1" s="2"/>
      <c r="Q1" s="4"/>
      <c r="R1" s="4"/>
      <c r="S1" s="3"/>
    </row>
    <row r="2" spans="1:19" ht="36.75" customHeight="1">
      <c r="A2" s="328" t="s">
        <v>0</v>
      </c>
      <c r="B2" s="328"/>
      <c r="C2" s="329"/>
      <c r="D2" s="329"/>
      <c r="E2" s="329"/>
      <c r="F2" s="329"/>
      <c r="G2" s="329"/>
      <c r="H2" s="329"/>
      <c r="I2" s="329"/>
      <c r="J2" s="329"/>
      <c r="K2" s="329"/>
      <c r="L2" s="329"/>
      <c r="M2" s="329"/>
      <c r="N2" s="329"/>
      <c r="O2" s="329"/>
      <c r="P2" s="329"/>
      <c r="Q2" s="329"/>
      <c r="R2" s="329"/>
      <c r="S2" s="3"/>
    </row>
    <row r="3" spans="1:19" ht="27.75" customHeight="1" thickBot="1">
      <c r="A3" s="330" t="s">
        <v>220</v>
      </c>
      <c r="B3" s="331"/>
      <c r="C3" s="331"/>
      <c r="D3" s="331"/>
      <c r="E3" s="331"/>
      <c r="F3" s="331"/>
      <c r="G3" s="2"/>
      <c r="H3" s="2"/>
      <c r="I3" s="12"/>
      <c r="J3" s="2"/>
      <c r="K3" s="7"/>
      <c r="L3" s="7"/>
      <c r="M3" s="10"/>
      <c r="N3" s="2"/>
      <c r="O3" s="13"/>
      <c r="P3" s="12"/>
      <c r="Q3" s="14"/>
      <c r="R3" s="14"/>
      <c r="S3" s="11"/>
    </row>
    <row r="4" spans="1:19" customFormat="1" ht="42" customHeight="1" thickBot="1">
      <c r="A4" s="15"/>
      <c r="B4" s="16" t="s">
        <v>1</v>
      </c>
      <c r="C4" s="17" t="s">
        <v>2</v>
      </c>
      <c r="D4" s="18" t="s">
        <v>292</v>
      </c>
      <c r="E4" s="34" t="s">
        <v>6</v>
      </c>
      <c r="F4" s="19" t="s">
        <v>4</v>
      </c>
      <c r="G4" s="17" t="s">
        <v>5</v>
      </c>
      <c r="H4" s="16" t="s">
        <v>2</v>
      </c>
      <c r="I4" s="18" t="s">
        <v>292</v>
      </c>
      <c r="J4" s="35" t="s">
        <v>3</v>
      </c>
      <c r="K4" s="19" t="s">
        <v>4</v>
      </c>
      <c r="L4" s="19" t="s">
        <v>5</v>
      </c>
      <c r="M4" s="21" t="s">
        <v>7</v>
      </c>
      <c r="N4" s="22" t="s">
        <v>8</v>
      </c>
      <c r="O4" s="19" t="s">
        <v>9</v>
      </c>
      <c r="P4" s="23" t="s">
        <v>292</v>
      </c>
      <c r="Q4" s="20" t="s">
        <v>11</v>
      </c>
      <c r="R4" s="24" t="s">
        <v>10</v>
      </c>
      <c r="S4" s="25"/>
    </row>
    <row r="5" spans="1:19" ht="24.95" customHeight="1">
      <c r="A5" s="332" t="s">
        <v>51</v>
      </c>
      <c r="B5" s="60" t="s">
        <v>105</v>
      </c>
      <c r="C5" s="36" t="s">
        <v>106</v>
      </c>
      <c r="D5" s="37" t="s">
        <v>107</v>
      </c>
      <c r="E5" s="80">
        <v>0.5</v>
      </c>
      <c r="F5" s="39" t="s">
        <v>90</v>
      </c>
      <c r="G5" s="64" t="s">
        <v>53</v>
      </c>
      <c r="H5" s="68" t="s">
        <v>106</v>
      </c>
      <c r="I5" s="37" t="s">
        <v>107</v>
      </c>
      <c r="J5" s="39">
        <f>ROUNDUP(E5*0.75,2)</f>
        <v>0.38</v>
      </c>
      <c r="K5" s="39" t="s">
        <v>90</v>
      </c>
      <c r="L5" s="39" t="s">
        <v>53</v>
      </c>
      <c r="M5" s="72" t="e">
        <f>#REF!</f>
        <v>#REF!</v>
      </c>
      <c r="N5" s="60"/>
      <c r="O5" s="40" t="s">
        <v>13</v>
      </c>
      <c r="P5" s="37"/>
      <c r="Q5" s="41">
        <v>110</v>
      </c>
      <c r="R5" s="83">
        <f>ROUNDUP(Q5*0.75,2)</f>
        <v>82.5</v>
      </c>
    </row>
    <row r="6" spans="1:19" ht="24.95" customHeight="1">
      <c r="A6" s="333"/>
      <c r="B6" s="61"/>
      <c r="C6" s="42"/>
      <c r="D6" s="43"/>
      <c r="E6" s="44"/>
      <c r="F6" s="45"/>
      <c r="G6" s="65"/>
      <c r="H6" s="69"/>
      <c r="I6" s="43"/>
      <c r="J6" s="45"/>
      <c r="K6" s="45"/>
      <c r="L6" s="45"/>
      <c r="M6" s="73"/>
      <c r="N6" s="61"/>
      <c r="O6" s="46"/>
      <c r="P6" s="43"/>
      <c r="Q6" s="47"/>
      <c r="R6" s="84"/>
    </row>
    <row r="7" spans="1:19" ht="24.95" customHeight="1">
      <c r="A7" s="333"/>
      <c r="B7" s="62" t="s">
        <v>221</v>
      </c>
      <c r="C7" s="48" t="s">
        <v>128</v>
      </c>
      <c r="D7" s="49" t="s">
        <v>129</v>
      </c>
      <c r="E7" s="50">
        <v>1</v>
      </c>
      <c r="F7" s="51" t="s">
        <v>40</v>
      </c>
      <c r="G7" s="66"/>
      <c r="H7" s="70" t="s">
        <v>128</v>
      </c>
      <c r="I7" s="49" t="s">
        <v>129</v>
      </c>
      <c r="J7" s="51">
        <f t="shared" ref="J7:J12" si="0">ROUNDUP(E7*0.75,2)</f>
        <v>0.75</v>
      </c>
      <c r="K7" s="51" t="s">
        <v>40</v>
      </c>
      <c r="L7" s="51"/>
      <c r="M7" s="74" t="e">
        <f>#REF!</f>
        <v>#REF!</v>
      </c>
      <c r="N7" s="62" t="s">
        <v>222</v>
      </c>
      <c r="O7" s="52" t="s">
        <v>66</v>
      </c>
      <c r="P7" s="49"/>
      <c r="Q7" s="53">
        <v>0.5</v>
      </c>
      <c r="R7" s="85">
        <f>ROUNDUP(Q7*0.75,2)</f>
        <v>0.38</v>
      </c>
    </row>
    <row r="8" spans="1:19" ht="24.95" customHeight="1">
      <c r="A8" s="333"/>
      <c r="B8" s="62"/>
      <c r="C8" s="48" t="s">
        <v>63</v>
      </c>
      <c r="D8" s="49"/>
      <c r="E8" s="50">
        <v>10</v>
      </c>
      <c r="F8" s="51" t="s">
        <v>34</v>
      </c>
      <c r="G8" s="66" t="s">
        <v>58</v>
      </c>
      <c r="H8" s="70" t="s">
        <v>63</v>
      </c>
      <c r="I8" s="49"/>
      <c r="J8" s="51">
        <f t="shared" si="0"/>
        <v>7.5</v>
      </c>
      <c r="K8" s="51" t="s">
        <v>34</v>
      </c>
      <c r="L8" s="51" t="s">
        <v>58</v>
      </c>
      <c r="M8" s="74" t="e">
        <f>#REF!</f>
        <v>#REF!</v>
      </c>
      <c r="N8" s="62" t="s">
        <v>223</v>
      </c>
      <c r="O8" s="52" t="s">
        <v>114</v>
      </c>
      <c r="P8" s="49"/>
      <c r="Q8" s="53">
        <v>1</v>
      </c>
      <c r="R8" s="85">
        <f>ROUNDUP(Q8*0.75,2)</f>
        <v>0.75</v>
      </c>
    </row>
    <row r="9" spans="1:19" ht="24.95" customHeight="1">
      <c r="A9" s="333"/>
      <c r="B9" s="62"/>
      <c r="C9" s="48" t="s">
        <v>135</v>
      </c>
      <c r="D9" s="49"/>
      <c r="E9" s="50">
        <v>30</v>
      </c>
      <c r="F9" s="51" t="s">
        <v>34</v>
      </c>
      <c r="G9" s="66"/>
      <c r="H9" s="70" t="s">
        <v>135</v>
      </c>
      <c r="I9" s="49"/>
      <c r="J9" s="51">
        <f t="shared" si="0"/>
        <v>22.5</v>
      </c>
      <c r="K9" s="51" t="s">
        <v>34</v>
      </c>
      <c r="L9" s="51"/>
      <c r="M9" s="74" t="e">
        <f>ROUND(#REF!+(#REF!*6/100),2)</f>
        <v>#REF!</v>
      </c>
      <c r="N9" s="62" t="s">
        <v>266</v>
      </c>
      <c r="O9" s="52" t="s">
        <v>44</v>
      </c>
      <c r="P9" s="49"/>
      <c r="Q9" s="53">
        <v>2</v>
      </c>
      <c r="R9" s="85">
        <f>ROUNDUP(Q9*0.75,2)</f>
        <v>1.5</v>
      </c>
    </row>
    <row r="10" spans="1:19" ht="24.95" customHeight="1">
      <c r="A10" s="333"/>
      <c r="B10" s="62"/>
      <c r="C10" s="48" t="s">
        <v>137</v>
      </c>
      <c r="D10" s="49"/>
      <c r="E10" s="50">
        <v>10</v>
      </c>
      <c r="F10" s="51" t="s">
        <v>34</v>
      </c>
      <c r="G10" s="66"/>
      <c r="H10" s="70" t="s">
        <v>137</v>
      </c>
      <c r="I10" s="49"/>
      <c r="J10" s="51">
        <f t="shared" si="0"/>
        <v>7.5</v>
      </c>
      <c r="K10" s="51" t="s">
        <v>34</v>
      </c>
      <c r="L10" s="51"/>
      <c r="M10" s="74" t="e">
        <f>ROUND(#REF!+(#REF!*10/100),2)</f>
        <v>#REF!</v>
      </c>
      <c r="N10" s="62" t="s">
        <v>281</v>
      </c>
      <c r="O10" s="52" t="s">
        <v>44</v>
      </c>
      <c r="P10" s="49"/>
      <c r="Q10" s="53">
        <v>1</v>
      </c>
      <c r="R10" s="85">
        <f>ROUNDUP(Q10*0.75,2)</f>
        <v>0.75</v>
      </c>
    </row>
    <row r="11" spans="1:19" ht="24.95" customHeight="1">
      <c r="A11" s="333"/>
      <c r="B11" s="62"/>
      <c r="C11" s="48" t="s">
        <v>174</v>
      </c>
      <c r="D11" s="49"/>
      <c r="E11" s="50">
        <v>5</v>
      </c>
      <c r="F11" s="51" t="s">
        <v>34</v>
      </c>
      <c r="G11" s="66"/>
      <c r="H11" s="70" t="s">
        <v>174</v>
      </c>
      <c r="I11" s="49"/>
      <c r="J11" s="51">
        <f t="shared" si="0"/>
        <v>3.75</v>
      </c>
      <c r="K11" s="51" t="s">
        <v>34</v>
      </c>
      <c r="L11" s="51"/>
      <c r="M11" s="74" t="e">
        <f>ROUND(#REF!+(#REF!*15/100),2)</f>
        <v>#REF!</v>
      </c>
      <c r="N11" s="62" t="s">
        <v>18</v>
      </c>
      <c r="O11" s="52" t="s">
        <v>35</v>
      </c>
      <c r="P11" s="49" t="s">
        <v>23</v>
      </c>
      <c r="Q11" s="53">
        <v>1</v>
      </c>
      <c r="R11" s="85">
        <f>ROUNDUP(Q11*0.75,2)</f>
        <v>0.75</v>
      </c>
    </row>
    <row r="12" spans="1:19" ht="24.95" customHeight="1">
      <c r="A12" s="333"/>
      <c r="B12" s="62"/>
      <c r="C12" s="48" t="s">
        <v>224</v>
      </c>
      <c r="D12" s="49"/>
      <c r="E12" s="79">
        <v>0.125</v>
      </c>
      <c r="F12" s="51" t="s">
        <v>90</v>
      </c>
      <c r="G12" s="66"/>
      <c r="H12" s="70" t="s">
        <v>224</v>
      </c>
      <c r="I12" s="49"/>
      <c r="J12" s="51">
        <f t="shared" si="0"/>
        <v>9.9999999999999992E-2</v>
      </c>
      <c r="K12" s="51" t="s">
        <v>90</v>
      </c>
      <c r="L12" s="51"/>
      <c r="M12" s="74" t="e">
        <f>#REF!</f>
        <v>#REF!</v>
      </c>
      <c r="N12" s="62"/>
      <c r="O12" s="52"/>
      <c r="P12" s="49"/>
      <c r="Q12" s="53"/>
      <c r="R12" s="85"/>
    </row>
    <row r="13" spans="1:19" ht="24.95" customHeight="1">
      <c r="A13" s="333"/>
      <c r="B13" s="61"/>
      <c r="C13" s="42"/>
      <c r="D13" s="43"/>
      <c r="E13" s="44"/>
      <c r="F13" s="45"/>
      <c r="G13" s="65"/>
      <c r="H13" s="69"/>
      <c r="I13" s="43"/>
      <c r="J13" s="45"/>
      <c r="K13" s="45"/>
      <c r="L13" s="45"/>
      <c r="M13" s="73"/>
      <c r="N13" s="61"/>
      <c r="O13" s="46"/>
      <c r="P13" s="43"/>
      <c r="Q13" s="47"/>
      <c r="R13" s="84"/>
    </row>
    <row r="14" spans="1:19" ht="24.95" customHeight="1">
      <c r="A14" s="333"/>
      <c r="B14" s="62" t="s">
        <v>225</v>
      </c>
      <c r="C14" s="48" t="s">
        <v>173</v>
      </c>
      <c r="D14" s="49"/>
      <c r="E14" s="50">
        <v>40</v>
      </c>
      <c r="F14" s="51" t="s">
        <v>34</v>
      </c>
      <c r="G14" s="66"/>
      <c r="H14" s="70" t="s">
        <v>173</v>
      </c>
      <c r="I14" s="49"/>
      <c r="J14" s="51">
        <f>ROUNDUP(E14*0.75,2)</f>
        <v>30</v>
      </c>
      <c r="K14" s="51" t="s">
        <v>34</v>
      </c>
      <c r="L14" s="51"/>
      <c r="M14" s="74" t="e">
        <f>ROUND(#REF!+(#REF!*10/100),2)</f>
        <v>#REF!</v>
      </c>
      <c r="N14" s="62" t="s">
        <v>287</v>
      </c>
      <c r="O14" s="52" t="s">
        <v>27</v>
      </c>
      <c r="P14" s="49"/>
      <c r="Q14" s="53">
        <v>0.3</v>
      </c>
      <c r="R14" s="85">
        <f>ROUNDUP(Q14*0.75,2)</f>
        <v>0.23</v>
      </c>
    </row>
    <row r="15" spans="1:19" ht="24.95" customHeight="1">
      <c r="A15" s="333"/>
      <c r="B15" s="62"/>
      <c r="C15" s="48" t="s">
        <v>144</v>
      </c>
      <c r="D15" s="49"/>
      <c r="E15" s="50">
        <v>5</v>
      </c>
      <c r="F15" s="51" t="s">
        <v>34</v>
      </c>
      <c r="G15" s="66"/>
      <c r="H15" s="70" t="s">
        <v>144</v>
      </c>
      <c r="I15" s="49"/>
      <c r="J15" s="51">
        <f>ROUNDUP(E15*0.75,2)</f>
        <v>3.75</v>
      </c>
      <c r="K15" s="51" t="s">
        <v>34</v>
      </c>
      <c r="L15" s="51"/>
      <c r="M15" s="74" t="e">
        <f>ROUND(#REF!+(#REF!*2/100),2)</f>
        <v>#REF!</v>
      </c>
      <c r="N15" s="62" t="s">
        <v>226</v>
      </c>
      <c r="O15" s="52" t="s">
        <v>45</v>
      </c>
      <c r="P15" s="49"/>
      <c r="Q15" s="53">
        <v>0.1</v>
      </c>
      <c r="R15" s="85">
        <f>ROUNDUP(Q15*0.75,2)</f>
        <v>0.08</v>
      </c>
    </row>
    <row r="16" spans="1:19" ht="24.95" customHeight="1">
      <c r="A16" s="333"/>
      <c r="B16" s="62"/>
      <c r="C16" s="48"/>
      <c r="D16" s="49"/>
      <c r="E16" s="50"/>
      <c r="F16" s="51"/>
      <c r="G16" s="66"/>
      <c r="H16" s="70"/>
      <c r="I16" s="49"/>
      <c r="J16" s="51"/>
      <c r="K16" s="51"/>
      <c r="L16" s="51"/>
      <c r="M16" s="74"/>
      <c r="N16" s="62" t="s">
        <v>18</v>
      </c>
      <c r="O16" s="52" t="s">
        <v>30</v>
      </c>
      <c r="P16" s="49" t="s">
        <v>31</v>
      </c>
      <c r="Q16" s="53">
        <v>4</v>
      </c>
      <c r="R16" s="85">
        <f>ROUNDUP(Q16*0.75,2)</f>
        <v>3</v>
      </c>
    </row>
    <row r="17" spans="1:18" ht="24.95" customHeight="1">
      <c r="A17" s="333"/>
      <c r="B17" s="61"/>
      <c r="C17" s="42"/>
      <c r="D17" s="43"/>
      <c r="E17" s="44"/>
      <c r="F17" s="45"/>
      <c r="G17" s="65"/>
      <c r="H17" s="69"/>
      <c r="I17" s="43"/>
      <c r="J17" s="45"/>
      <c r="K17" s="45"/>
      <c r="L17" s="45"/>
      <c r="M17" s="73"/>
      <c r="N17" s="61"/>
      <c r="O17" s="46"/>
      <c r="P17" s="43"/>
      <c r="Q17" s="47"/>
      <c r="R17" s="84"/>
    </row>
    <row r="18" spans="1:18" ht="24.95" customHeight="1">
      <c r="A18" s="333"/>
      <c r="B18" s="62" t="s">
        <v>69</v>
      </c>
      <c r="C18" s="48" t="s">
        <v>227</v>
      </c>
      <c r="D18" s="49"/>
      <c r="E18" s="50">
        <v>20</v>
      </c>
      <c r="F18" s="51" t="s">
        <v>34</v>
      </c>
      <c r="G18" s="66"/>
      <c r="H18" s="70" t="s">
        <v>227</v>
      </c>
      <c r="I18" s="49"/>
      <c r="J18" s="51">
        <f>ROUNDUP(E18*0.75,2)</f>
        <v>15</v>
      </c>
      <c r="K18" s="51" t="s">
        <v>34</v>
      </c>
      <c r="L18" s="51"/>
      <c r="M18" s="74" t="e">
        <f>ROUND(#REF!+(#REF!*15/100),2)</f>
        <v>#REF!</v>
      </c>
      <c r="N18" s="62" t="s">
        <v>18</v>
      </c>
      <c r="O18" s="52" t="s">
        <v>36</v>
      </c>
      <c r="P18" s="49"/>
      <c r="Q18" s="53">
        <v>100</v>
      </c>
      <c r="R18" s="85">
        <f>ROUNDUP(Q18*0.75,2)</f>
        <v>75</v>
      </c>
    </row>
    <row r="19" spans="1:18" ht="24.95" customHeight="1">
      <c r="A19" s="333"/>
      <c r="B19" s="62"/>
      <c r="C19" s="48" t="s">
        <v>150</v>
      </c>
      <c r="D19" s="49"/>
      <c r="E19" s="78">
        <v>0.1</v>
      </c>
      <c r="F19" s="51" t="s">
        <v>151</v>
      </c>
      <c r="G19" s="66" t="s">
        <v>53</v>
      </c>
      <c r="H19" s="70" t="s">
        <v>150</v>
      </c>
      <c r="I19" s="49"/>
      <c r="J19" s="51">
        <f>ROUNDUP(E19*0.75,2)</f>
        <v>0.08</v>
      </c>
      <c r="K19" s="51" t="s">
        <v>151</v>
      </c>
      <c r="L19" s="51" t="s">
        <v>53</v>
      </c>
      <c r="M19" s="74" t="e">
        <f>#REF!</f>
        <v>#REF!</v>
      </c>
      <c r="N19" s="62"/>
      <c r="O19" s="52" t="s">
        <v>29</v>
      </c>
      <c r="P19" s="49"/>
      <c r="Q19" s="53">
        <v>3</v>
      </c>
      <c r="R19" s="85">
        <f>ROUNDUP(Q19*0.75,2)</f>
        <v>2.25</v>
      </c>
    </row>
    <row r="20" spans="1:18" ht="24.95" customHeight="1" thickBot="1">
      <c r="A20" s="334"/>
      <c r="B20" s="63"/>
      <c r="C20" s="54"/>
      <c r="D20" s="55"/>
      <c r="E20" s="56"/>
      <c r="F20" s="57"/>
      <c r="G20" s="67"/>
      <c r="H20" s="71"/>
      <c r="I20" s="55"/>
      <c r="J20" s="57"/>
      <c r="K20" s="57"/>
      <c r="L20" s="57"/>
      <c r="M20" s="75"/>
      <c r="N20" s="63"/>
      <c r="O20" s="58"/>
      <c r="P20" s="55"/>
      <c r="Q20" s="59"/>
      <c r="R20" s="86"/>
    </row>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キッズ月間</vt:lpstr>
      <vt:lpstr>離乳食月間</vt:lpstr>
      <vt:lpstr>1月6日（月）</vt:lpstr>
      <vt:lpstr>1月7日（火）</vt:lpstr>
      <vt:lpstr>1月8日（水）</vt:lpstr>
      <vt:lpstr>1月9日（木）</vt:lpstr>
      <vt:lpstr>1月10日（金）</vt:lpstr>
      <vt:lpstr>1月14日（火）</vt:lpstr>
      <vt:lpstr>1月15日（水）</vt:lpstr>
      <vt:lpstr>1月16日（木）</vt:lpstr>
      <vt:lpstr>1月17日（金）</vt:lpstr>
      <vt:lpstr>1月20日（月）</vt:lpstr>
      <vt:lpstr>1月21日（火）</vt:lpstr>
      <vt:lpstr>1月22日（水）</vt:lpstr>
      <vt:lpstr>1月23日（木）</vt:lpstr>
      <vt:lpstr>1月24日（金）</vt:lpstr>
      <vt:lpstr>1月27日（月）</vt:lpstr>
      <vt:lpstr>1月28日（火）</vt:lpstr>
      <vt:lpstr>1月29日（水）</vt:lpstr>
      <vt:lpstr>1月30日（木）</vt:lpstr>
      <vt:lpstr>1月31日（金）</vt:lpstr>
      <vt:lpstr>キッズ月間!Print_Area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2019-12-08T05:22:48Z</cp:lastPrinted>
  <dcterms:created xsi:type="dcterms:W3CDTF">2019-03-20T06:11:51Z</dcterms:created>
  <dcterms:modified xsi:type="dcterms:W3CDTF">2019-12-11T02:20:30Z</dcterms:modified>
</cp:coreProperties>
</file>