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kuld\Desktop\保育園\給食\"/>
    </mc:Choice>
  </mc:AlternateContent>
  <bookViews>
    <workbookView xWindow="0" yWindow="0" windowWidth="15360" windowHeight="7770"/>
  </bookViews>
  <sheets>
    <sheet name="キッズ月間(昼)" sheetId="35" r:id="rId1"/>
    <sheet name="12月2日（月）" sheetId="3" r:id="rId2"/>
    <sheet name="12月3日（火）" sheetId="4" r:id="rId3"/>
    <sheet name="12月4日（水）" sheetId="5" r:id="rId4"/>
    <sheet name="12月5日（木）" sheetId="6" r:id="rId5"/>
    <sheet name="12月6日（金）" sheetId="7" r:id="rId6"/>
    <sheet name="12月9日（月）" sheetId="10" r:id="rId7"/>
    <sheet name="12月10日（火）" sheetId="11" r:id="rId8"/>
    <sheet name="12月11日（水）" sheetId="12" r:id="rId9"/>
    <sheet name="12月12日（木）" sheetId="13" r:id="rId10"/>
    <sheet name="12月13日（金）" sheetId="33" r:id="rId11"/>
    <sheet name="12月16日（月）" sheetId="17" r:id="rId12"/>
    <sheet name="12月17日（火）" sheetId="18" r:id="rId13"/>
    <sheet name="12月18日（水）" sheetId="19" r:id="rId14"/>
    <sheet name="12月19日（木）" sheetId="20" r:id="rId15"/>
    <sheet name="12月20日（金）" sheetId="21" r:id="rId16"/>
    <sheet name="12月23日（月）" sheetId="24" r:id="rId17"/>
    <sheet name="12月24日（火）" sheetId="25" r:id="rId18"/>
    <sheet name="12月25日（水）" sheetId="26" r:id="rId19"/>
    <sheet name="12月26日（木）" sheetId="27" r:id="rId20"/>
    <sheet name="12月27日（金）" sheetId="34" r:id="rId21"/>
  </sheets>
  <definedNames>
    <definedName name="_xlnm.Print_Area">#REF!</definedName>
  </definedNames>
  <calcPr calcId="152511"/>
</workbook>
</file>

<file path=xl/calcChain.xml><?xml version="1.0" encoding="utf-8"?>
<calcChain xmlns="http://schemas.openxmlformats.org/spreadsheetml/2006/main">
  <c r="K64" i="35" l="1"/>
  <c r="I64" i="35"/>
  <c r="G64" i="35"/>
  <c r="F64" i="35"/>
  <c r="E64" i="35"/>
  <c r="T59" i="35"/>
  <c r="I59" i="35"/>
  <c r="T58" i="35"/>
  <c r="I58" i="35"/>
  <c r="T57" i="35"/>
  <c r="I57" i="35"/>
  <c r="T56" i="35"/>
  <c r="I56" i="35"/>
  <c r="T55" i="35"/>
  <c r="I55" i="35"/>
  <c r="T54" i="35"/>
  <c r="I54" i="35"/>
  <c r="T53" i="35"/>
  <c r="I53" i="35"/>
  <c r="T52" i="35"/>
  <c r="I52" i="35"/>
  <c r="T51" i="35"/>
  <c r="I51" i="35"/>
  <c r="T50" i="35"/>
  <c r="I50" i="35"/>
  <c r="T49" i="35"/>
  <c r="I49" i="35"/>
  <c r="T48" i="35"/>
  <c r="I48" i="35"/>
  <c r="T47" i="35"/>
  <c r="I47" i="35"/>
  <c r="T46" i="35"/>
  <c r="I46" i="35"/>
  <c r="T45" i="35"/>
  <c r="I45" i="35"/>
  <c r="T44" i="35"/>
  <c r="I44" i="35"/>
  <c r="T43" i="35"/>
  <c r="I43" i="35"/>
  <c r="T42" i="35"/>
  <c r="I42" i="35"/>
  <c r="T41" i="35"/>
  <c r="I41" i="35"/>
  <c r="T40" i="35"/>
  <c r="I40" i="35"/>
  <c r="T39" i="35"/>
  <c r="I39" i="35"/>
  <c r="T38" i="35"/>
  <c r="I38" i="35"/>
  <c r="T37" i="35"/>
  <c r="I37" i="35"/>
  <c r="T36" i="35"/>
  <c r="I36" i="35"/>
  <c r="T35" i="35"/>
  <c r="I35" i="35"/>
  <c r="T32" i="35"/>
  <c r="I32" i="35"/>
  <c r="T31" i="35"/>
  <c r="I31" i="35"/>
  <c r="T30" i="35"/>
  <c r="I30" i="35"/>
  <c r="T29" i="35"/>
  <c r="I29" i="35"/>
  <c r="T28" i="35"/>
  <c r="I28" i="35"/>
  <c r="T27" i="35"/>
  <c r="I27" i="35"/>
  <c r="T26" i="35"/>
  <c r="I26" i="35"/>
  <c r="T25" i="35"/>
  <c r="I25" i="35"/>
  <c r="T24" i="35"/>
  <c r="I24" i="35"/>
  <c r="T23" i="35"/>
  <c r="I23" i="35"/>
  <c r="T22" i="35"/>
  <c r="I22" i="35"/>
  <c r="T21" i="35"/>
  <c r="I21" i="35"/>
  <c r="T20" i="35"/>
  <c r="I20" i="35"/>
  <c r="T19" i="35"/>
  <c r="I19" i="35"/>
  <c r="T18" i="35"/>
  <c r="I18" i="35"/>
  <c r="T17" i="35"/>
  <c r="I17" i="35"/>
  <c r="T16" i="35"/>
  <c r="I16" i="35"/>
  <c r="T15" i="35"/>
  <c r="I15" i="35"/>
  <c r="T14" i="35"/>
  <c r="I14" i="35"/>
  <c r="T13" i="35"/>
  <c r="I13" i="35"/>
  <c r="T12" i="35"/>
  <c r="I12" i="35"/>
  <c r="T11" i="35"/>
  <c r="I11" i="35"/>
  <c r="T10" i="35"/>
  <c r="I10" i="35"/>
  <c r="T9" i="35"/>
  <c r="I9" i="35"/>
  <c r="T8" i="35"/>
  <c r="I8" i="35"/>
  <c r="J24" i="34" l="1"/>
  <c r="M24" i="34" s="1"/>
  <c r="R22" i="34"/>
  <c r="R21" i="34"/>
  <c r="M21" i="34"/>
  <c r="J21" i="34"/>
  <c r="R20" i="34"/>
  <c r="J20" i="34"/>
  <c r="M20" i="34" s="1"/>
  <c r="R17" i="34"/>
  <c r="R16" i="34"/>
  <c r="J16" i="34"/>
  <c r="M16" i="34" s="1"/>
  <c r="R15" i="34"/>
  <c r="J15" i="34"/>
  <c r="M15" i="34" s="1"/>
  <c r="R14" i="34"/>
  <c r="J14" i="34"/>
  <c r="M14" i="34" s="1"/>
  <c r="R13" i="34"/>
  <c r="J13" i="34"/>
  <c r="M13" i="34" s="1"/>
  <c r="R11" i="34"/>
  <c r="R10" i="34"/>
  <c r="J10" i="34"/>
  <c r="M10" i="34" s="1"/>
  <c r="R9" i="34"/>
  <c r="J9" i="34"/>
  <c r="M9" i="34"/>
  <c r="R8" i="34"/>
  <c r="J8" i="34"/>
  <c r="M8" i="34" s="1"/>
  <c r="R7" i="34"/>
  <c r="J7" i="34"/>
  <c r="M7" i="34" s="1"/>
  <c r="R5" i="34"/>
  <c r="J24" i="33"/>
  <c r="M24" i="33" s="1"/>
  <c r="R22" i="33"/>
  <c r="R21" i="33"/>
  <c r="J21" i="33"/>
  <c r="M21" i="33" s="1"/>
  <c r="R20" i="33"/>
  <c r="J20" i="33"/>
  <c r="M20" i="33" s="1"/>
  <c r="R17" i="33"/>
  <c r="R16" i="33"/>
  <c r="J16" i="33"/>
  <c r="M16" i="33" s="1"/>
  <c r="R15" i="33"/>
  <c r="J15" i="33"/>
  <c r="M15" i="33" s="1"/>
  <c r="R14" i="33"/>
  <c r="J14" i="33"/>
  <c r="M14" i="33"/>
  <c r="R13" i="33"/>
  <c r="J13" i="33"/>
  <c r="M13" i="33"/>
  <c r="R11" i="33"/>
  <c r="R10" i="33"/>
  <c r="J10" i="33"/>
  <c r="M10" i="33"/>
  <c r="R9" i="33"/>
  <c r="J9" i="33"/>
  <c r="M9" i="33"/>
  <c r="R8" i="33"/>
  <c r="J8" i="33"/>
  <c r="M8" i="33" s="1"/>
  <c r="R7" i="33"/>
  <c r="J7" i="33"/>
  <c r="M7" i="33" s="1"/>
  <c r="R5" i="33"/>
  <c r="J24" i="27"/>
  <c r="M24" i="27" s="1"/>
  <c r="R22" i="27"/>
  <c r="R21" i="27"/>
  <c r="J22" i="27"/>
  <c r="M22" i="27" s="1"/>
  <c r="J21" i="27"/>
  <c r="R19" i="27"/>
  <c r="R18" i="27"/>
  <c r="R17" i="27"/>
  <c r="R16" i="27"/>
  <c r="R15" i="27"/>
  <c r="J18" i="27"/>
  <c r="M18" i="27" s="1"/>
  <c r="J17" i="27"/>
  <c r="M17" i="27" s="1"/>
  <c r="J16" i="27"/>
  <c r="M16" i="27" s="1"/>
  <c r="M15" i="27"/>
  <c r="J15" i="27"/>
  <c r="J8" i="27"/>
  <c r="M8" i="27" s="1"/>
  <c r="R13" i="27"/>
  <c r="R12" i="27"/>
  <c r="R11" i="27"/>
  <c r="R10" i="27"/>
  <c r="R9" i="27"/>
  <c r="R8" i="27"/>
  <c r="R7" i="27"/>
  <c r="J7" i="27"/>
  <c r="M7" i="27" s="1"/>
  <c r="J5" i="27"/>
  <c r="M5" i="27" s="1"/>
  <c r="R5" i="27"/>
  <c r="J28" i="26"/>
  <c r="M28" i="26" s="1"/>
  <c r="R26" i="26"/>
  <c r="R25" i="26"/>
  <c r="R24" i="26"/>
  <c r="J25" i="26"/>
  <c r="M25" i="26" s="1"/>
  <c r="J24" i="26"/>
  <c r="M24" i="26" s="1"/>
  <c r="R19" i="26"/>
  <c r="R18" i="26"/>
  <c r="J18" i="26"/>
  <c r="M18" i="26" s="1"/>
  <c r="R17" i="26"/>
  <c r="R16" i="26"/>
  <c r="R15" i="26"/>
  <c r="J17" i="26"/>
  <c r="M17" i="26" s="1"/>
  <c r="J16" i="26"/>
  <c r="M16" i="26" s="1"/>
  <c r="J15" i="26"/>
  <c r="M15" i="26" s="1"/>
  <c r="R11" i="26"/>
  <c r="R10" i="26"/>
  <c r="R9" i="26"/>
  <c r="R8" i="26"/>
  <c r="J10" i="26"/>
  <c r="M10" i="26" s="1"/>
  <c r="J9" i="26"/>
  <c r="M9" i="26" s="1"/>
  <c r="J8" i="26"/>
  <c r="M8" i="26" s="1"/>
  <c r="J7" i="26"/>
  <c r="M7" i="26" s="1"/>
  <c r="R7" i="26"/>
  <c r="R21" i="25"/>
  <c r="R20" i="25"/>
  <c r="J21" i="25"/>
  <c r="M21" i="25" s="1"/>
  <c r="J20" i="25"/>
  <c r="R17" i="25"/>
  <c r="R16" i="25"/>
  <c r="R15" i="25"/>
  <c r="M17" i="25"/>
  <c r="J17" i="25"/>
  <c r="M16" i="25"/>
  <c r="J16" i="25"/>
  <c r="J15" i="25"/>
  <c r="M15" i="25" s="1"/>
  <c r="J11" i="25"/>
  <c r="M11" i="25"/>
  <c r="R13" i="25"/>
  <c r="J10" i="25"/>
  <c r="M10" i="25" s="1"/>
  <c r="R12" i="25"/>
  <c r="R11" i="25"/>
  <c r="R10" i="25"/>
  <c r="R9" i="25"/>
  <c r="R8" i="25"/>
  <c r="R7" i="25"/>
  <c r="J9" i="25"/>
  <c r="M9" i="25" s="1"/>
  <c r="M8" i="25"/>
  <c r="J8" i="25"/>
  <c r="M7" i="25"/>
  <c r="J7" i="25"/>
  <c r="R5" i="25"/>
  <c r="J26" i="24"/>
  <c r="M26" i="24" s="1"/>
  <c r="R24" i="24"/>
  <c r="R23" i="24"/>
  <c r="M24" i="24"/>
  <c r="J24" i="24"/>
  <c r="J23" i="24"/>
  <c r="M23" i="24" s="1"/>
  <c r="R21" i="24"/>
  <c r="R20" i="24"/>
  <c r="R19" i="24"/>
  <c r="R18" i="24"/>
  <c r="R17" i="24"/>
  <c r="R16" i="24"/>
  <c r="J19" i="24"/>
  <c r="M19" i="24" s="1"/>
  <c r="J18" i="24"/>
  <c r="M18" i="24" s="1"/>
  <c r="M17" i="24"/>
  <c r="J17" i="24"/>
  <c r="J16" i="24"/>
  <c r="M16" i="24" s="1"/>
  <c r="J8" i="24"/>
  <c r="M8" i="24" s="1"/>
  <c r="R12" i="24"/>
  <c r="R11" i="24"/>
  <c r="R10" i="24"/>
  <c r="R9" i="24"/>
  <c r="R8" i="24"/>
  <c r="R7" i="24"/>
  <c r="J7" i="24"/>
  <c r="M7" i="24" s="1"/>
  <c r="R5" i="24"/>
  <c r="J21" i="21"/>
  <c r="M21" i="21" s="1"/>
  <c r="R19" i="21"/>
  <c r="R18" i="21"/>
  <c r="R17" i="21"/>
  <c r="M18" i="21"/>
  <c r="J18" i="21"/>
  <c r="J17" i="21"/>
  <c r="R14" i="21"/>
  <c r="R13" i="21"/>
  <c r="M14" i="21"/>
  <c r="J14" i="21"/>
  <c r="J13" i="21"/>
  <c r="M13" i="21" s="1"/>
  <c r="J11" i="21"/>
  <c r="M11" i="21" s="1"/>
  <c r="J10" i="21"/>
  <c r="M10" i="21" s="1"/>
  <c r="R9" i="21"/>
  <c r="R8" i="21"/>
  <c r="M9" i="21"/>
  <c r="J9" i="21"/>
  <c r="J8" i="21"/>
  <c r="M8" i="21" s="1"/>
  <c r="R7" i="21"/>
  <c r="M7" i="21"/>
  <c r="J7" i="21"/>
  <c r="R5" i="21"/>
  <c r="R21" i="20"/>
  <c r="M19" i="20"/>
  <c r="J19" i="20"/>
  <c r="R20" i="20"/>
  <c r="R19" i="20"/>
  <c r="R18" i="20"/>
  <c r="R17" i="20"/>
  <c r="M18" i="20"/>
  <c r="J18" i="20"/>
  <c r="J17" i="20"/>
  <c r="M17" i="20" s="1"/>
  <c r="R14" i="20"/>
  <c r="R13" i="20"/>
  <c r="R12" i="20"/>
  <c r="R11" i="20"/>
  <c r="J14" i="20"/>
  <c r="M14" i="20" s="1"/>
  <c r="M13" i="20"/>
  <c r="J13" i="20"/>
  <c r="M12" i="20"/>
  <c r="J12" i="20"/>
  <c r="J11" i="20"/>
  <c r="M11" i="20" s="1"/>
  <c r="R9" i="20"/>
  <c r="R8" i="20"/>
  <c r="R7" i="20"/>
  <c r="R6" i="20"/>
  <c r="J8" i="20"/>
  <c r="M8" i="20" s="1"/>
  <c r="M7" i="20"/>
  <c r="J7" i="20"/>
  <c r="M6" i="20"/>
  <c r="J6" i="20"/>
  <c r="R5" i="20"/>
  <c r="M5" i="20"/>
  <c r="J5" i="20"/>
  <c r="J23" i="19"/>
  <c r="M23" i="19" s="1"/>
  <c r="R21" i="19"/>
  <c r="R20" i="19"/>
  <c r="J21" i="19"/>
  <c r="M21" i="19" s="1"/>
  <c r="J20" i="19"/>
  <c r="M20" i="19"/>
  <c r="M18" i="19"/>
  <c r="J18" i="19"/>
  <c r="R18" i="19"/>
  <c r="R17" i="19"/>
  <c r="R16" i="19"/>
  <c r="R15" i="19"/>
  <c r="M17" i="19"/>
  <c r="J17" i="19"/>
  <c r="J16" i="19"/>
  <c r="M16" i="19" s="1"/>
  <c r="R14" i="19"/>
  <c r="J15" i="19"/>
  <c r="M15" i="19" s="1"/>
  <c r="J14" i="19"/>
  <c r="M14" i="19" s="1"/>
  <c r="R12" i="19"/>
  <c r="R11" i="19"/>
  <c r="J9" i="19"/>
  <c r="M9" i="19"/>
  <c r="M8" i="19"/>
  <c r="J8" i="19"/>
  <c r="R10" i="19"/>
  <c r="R9" i="19"/>
  <c r="R8" i="19"/>
  <c r="R7" i="19"/>
  <c r="M7" i="19"/>
  <c r="J7" i="19"/>
  <c r="R5" i="19"/>
  <c r="R23" i="18"/>
  <c r="R22" i="18"/>
  <c r="J23" i="18"/>
  <c r="J22" i="18"/>
  <c r="M22" i="18" s="1"/>
  <c r="R20" i="18"/>
  <c r="R19" i="18"/>
  <c r="R18" i="18"/>
  <c r="R17" i="18"/>
  <c r="M18" i="18"/>
  <c r="J18" i="18"/>
  <c r="M17" i="18"/>
  <c r="J17" i="18"/>
  <c r="J12" i="18"/>
  <c r="M12" i="18" s="1"/>
  <c r="R15" i="18"/>
  <c r="R14" i="18"/>
  <c r="R13" i="18"/>
  <c r="R12" i="18"/>
  <c r="J11" i="18"/>
  <c r="M11" i="18" s="1"/>
  <c r="R11" i="18"/>
  <c r="R10" i="18"/>
  <c r="R9" i="18"/>
  <c r="R8" i="18"/>
  <c r="R7" i="18"/>
  <c r="J10" i="18"/>
  <c r="M10" i="18" s="1"/>
  <c r="J9" i="18"/>
  <c r="M9" i="18" s="1"/>
  <c r="M8" i="18"/>
  <c r="J8" i="18"/>
  <c r="M7" i="18"/>
  <c r="J7" i="18"/>
  <c r="J5" i="18"/>
  <c r="M5" i="18" s="1"/>
  <c r="R5" i="18"/>
  <c r="J17" i="17"/>
  <c r="M17" i="17" s="1"/>
  <c r="R14" i="17"/>
  <c r="R13" i="17"/>
  <c r="R12" i="17"/>
  <c r="M14" i="17"/>
  <c r="J14" i="17"/>
  <c r="J13" i="17"/>
  <c r="M13" i="17" s="1"/>
  <c r="J12" i="17"/>
  <c r="M12" i="17" s="1"/>
  <c r="R10" i="17"/>
  <c r="R9" i="17"/>
  <c r="R8" i="17"/>
  <c r="R7" i="17"/>
  <c r="J10" i="17"/>
  <c r="M10" i="17" s="1"/>
  <c r="M9" i="17"/>
  <c r="J9" i="17"/>
  <c r="M8" i="17"/>
  <c r="J8" i="17"/>
  <c r="J7" i="17"/>
  <c r="M7" i="17" s="1"/>
  <c r="J6" i="17"/>
  <c r="M6" i="17" s="1"/>
  <c r="R6" i="17"/>
  <c r="J5" i="17"/>
  <c r="M5" i="17" s="1"/>
  <c r="R5" i="17"/>
  <c r="J24" i="13"/>
  <c r="M24" i="13" s="1"/>
  <c r="R22" i="13"/>
  <c r="R21" i="13"/>
  <c r="J22" i="13"/>
  <c r="M22" i="13" s="1"/>
  <c r="J21" i="13"/>
  <c r="R19" i="13"/>
  <c r="R18" i="13"/>
  <c r="R17" i="13"/>
  <c r="R16" i="13"/>
  <c r="R15" i="13"/>
  <c r="J18" i="13"/>
  <c r="M18" i="13" s="1"/>
  <c r="J17" i="13"/>
  <c r="M17" i="13" s="1"/>
  <c r="J16" i="13"/>
  <c r="M16" i="13" s="1"/>
  <c r="J15" i="13"/>
  <c r="M15" i="13" s="1"/>
  <c r="M8" i="13"/>
  <c r="J8" i="13"/>
  <c r="R13" i="13"/>
  <c r="R12" i="13"/>
  <c r="R11" i="13"/>
  <c r="R10" i="13"/>
  <c r="R9" i="13"/>
  <c r="R8" i="13"/>
  <c r="R7" i="13"/>
  <c r="J7" i="13"/>
  <c r="M7" i="13" s="1"/>
  <c r="J5" i="13"/>
  <c r="M5" i="13" s="1"/>
  <c r="R5" i="13"/>
  <c r="J21" i="12"/>
  <c r="M21" i="12" s="1"/>
  <c r="R19" i="12"/>
  <c r="R18" i="12"/>
  <c r="R17" i="12"/>
  <c r="J19" i="12"/>
  <c r="M19" i="12" s="1"/>
  <c r="J18" i="12"/>
  <c r="M18" i="12" s="1"/>
  <c r="J17" i="12"/>
  <c r="M17" i="12" s="1"/>
  <c r="R13" i="12"/>
  <c r="R12" i="12"/>
  <c r="R11" i="12"/>
  <c r="R10" i="12"/>
  <c r="J15" i="12"/>
  <c r="M15" i="12" s="1"/>
  <c r="J14" i="12"/>
  <c r="M14" i="12" s="1"/>
  <c r="J13" i="12"/>
  <c r="M13" i="12" s="1"/>
  <c r="J12" i="12"/>
  <c r="M12" i="12" s="1"/>
  <c r="J11" i="12"/>
  <c r="M11" i="12" s="1"/>
  <c r="J10" i="12"/>
  <c r="M10" i="12" s="1"/>
  <c r="R8" i="12"/>
  <c r="J7" i="12"/>
  <c r="M7" i="12" s="1"/>
  <c r="R7" i="12"/>
  <c r="R21" i="11"/>
  <c r="R20" i="11"/>
  <c r="J21" i="11"/>
  <c r="M21" i="11" s="1"/>
  <c r="J20" i="11"/>
  <c r="R17" i="11"/>
  <c r="R16" i="11"/>
  <c r="R15" i="11"/>
  <c r="M17" i="11"/>
  <c r="J17" i="11"/>
  <c r="J16" i="11"/>
  <c r="M16" i="11" s="1"/>
  <c r="J15" i="11"/>
  <c r="M15" i="11"/>
  <c r="J11" i="11"/>
  <c r="M11" i="11" s="1"/>
  <c r="R13" i="11"/>
  <c r="J10" i="11"/>
  <c r="M10" i="11" s="1"/>
  <c r="R12" i="11"/>
  <c r="R11" i="11"/>
  <c r="R10" i="11"/>
  <c r="R9" i="11"/>
  <c r="R8" i="11"/>
  <c r="R7" i="11"/>
  <c r="J9" i="11"/>
  <c r="M9" i="11" s="1"/>
  <c r="M8" i="11"/>
  <c r="J8" i="11"/>
  <c r="J7" i="11"/>
  <c r="M7" i="11" s="1"/>
  <c r="R5" i="11"/>
  <c r="M26" i="10"/>
  <c r="J26" i="10"/>
  <c r="R24" i="10"/>
  <c r="R23" i="10"/>
  <c r="J24" i="10"/>
  <c r="M24" i="10" s="1"/>
  <c r="J23" i="10"/>
  <c r="M23" i="10"/>
  <c r="R21" i="10"/>
  <c r="R20" i="10"/>
  <c r="R19" i="10"/>
  <c r="R18" i="10"/>
  <c r="R17" i="10"/>
  <c r="R16" i="10"/>
  <c r="J19" i="10"/>
  <c r="M19" i="10" s="1"/>
  <c r="M18" i="10"/>
  <c r="J18" i="10"/>
  <c r="M17" i="10"/>
  <c r="J17" i="10"/>
  <c r="J16" i="10"/>
  <c r="M16" i="10" s="1"/>
  <c r="J8" i="10"/>
  <c r="M8" i="10" s="1"/>
  <c r="R12" i="10"/>
  <c r="R11" i="10"/>
  <c r="R10" i="10"/>
  <c r="R9" i="10"/>
  <c r="R8" i="10"/>
  <c r="R7" i="10"/>
  <c r="M7" i="10"/>
  <c r="J7" i="10"/>
  <c r="R5" i="10"/>
  <c r="J22" i="7"/>
  <c r="M22" i="7" s="1"/>
  <c r="R20" i="7"/>
  <c r="R19" i="7"/>
  <c r="R18" i="7"/>
  <c r="J19" i="7"/>
  <c r="M19" i="7" s="1"/>
  <c r="J18" i="7"/>
  <c r="R16" i="7"/>
  <c r="R15" i="7"/>
  <c r="R14" i="7"/>
  <c r="R13" i="7"/>
  <c r="M14" i="7"/>
  <c r="J14" i="7"/>
  <c r="J13" i="7"/>
  <c r="M13" i="7" s="1"/>
  <c r="J11" i="7"/>
  <c r="M11" i="7" s="1"/>
  <c r="M10" i="7"/>
  <c r="J10" i="7"/>
  <c r="R9" i="7"/>
  <c r="R8" i="7"/>
  <c r="J9" i="7"/>
  <c r="M9" i="7" s="1"/>
  <c r="J8" i="7"/>
  <c r="M8" i="7" s="1"/>
  <c r="R7" i="7"/>
  <c r="J7" i="7"/>
  <c r="M7" i="7" s="1"/>
  <c r="R5" i="7"/>
  <c r="R21" i="6"/>
  <c r="J19" i="6"/>
  <c r="M19" i="6" s="1"/>
  <c r="R20" i="6"/>
  <c r="R19" i="6"/>
  <c r="R18" i="6"/>
  <c r="R17" i="6"/>
  <c r="J18" i="6"/>
  <c r="M18" i="6" s="1"/>
  <c r="J17" i="6"/>
  <c r="M17" i="6" s="1"/>
  <c r="R14" i="6"/>
  <c r="R13" i="6"/>
  <c r="R12" i="6"/>
  <c r="R11" i="6"/>
  <c r="M14" i="6"/>
  <c r="J14" i="6"/>
  <c r="J13" i="6"/>
  <c r="M13" i="6" s="1"/>
  <c r="J12" i="6"/>
  <c r="M12" i="6" s="1"/>
  <c r="J11" i="6"/>
  <c r="M11" i="6" s="1"/>
  <c r="R9" i="6"/>
  <c r="R8" i="6"/>
  <c r="R7" i="6"/>
  <c r="R6" i="6"/>
  <c r="M8" i="6"/>
  <c r="J8" i="6"/>
  <c r="M7" i="6"/>
  <c r="J7" i="6"/>
  <c r="J6" i="6"/>
  <c r="M6" i="6"/>
  <c r="R5" i="6"/>
  <c r="J5" i="6"/>
  <c r="M5" i="6" s="1"/>
  <c r="J23" i="5"/>
  <c r="M23" i="5" s="1"/>
  <c r="R21" i="5"/>
  <c r="R20" i="5"/>
  <c r="M21" i="5"/>
  <c r="J21" i="5"/>
  <c r="M20" i="5"/>
  <c r="J20" i="5"/>
  <c r="J18" i="5"/>
  <c r="M18" i="5" s="1"/>
  <c r="R18" i="5"/>
  <c r="R17" i="5"/>
  <c r="R16" i="5"/>
  <c r="R15" i="5"/>
  <c r="J17" i="5"/>
  <c r="M17" i="5" s="1"/>
  <c r="M16" i="5"/>
  <c r="J16" i="5"/>
  <c r="R14" i="5"/>
  <c r="J15" i="5"/>
  <c r="M15" i="5"/>
  <c r="J14" i="5"/>
  <c r="M14" i="5" s="1"/>
  <c r="R12" i="5"/>
  <c r="R11" i="5"/>
  <c r="J9" i="5"/>
  <c r="M9" i="5" s="1"/>
  <c r="J8" i="5"/>
  <c r="M8" i="5" s="1"/>
  <c r="R10" i="5"/>
  <c r="R9" i="5"/>
  <c r="R8" i="5"/>
  <c r="R7" i="5"/>
  <c r="J7" i="5"/>
  <c r="M7" i="5" s="1"/>
  <c r="R5" i="5"/>
  <c r="R23" i="4"/>
  <c r="R22" i="4"/>
  <c r="J23" i="4"/>
  <c r="J22" i="4"/>
  <c r="M22" i="4" s="1"/>
  <c r="R20" i="4"/>
  <c r="R19" i="4"/>
  <c r="R18" i="4"/>
  <c r="R17" i="4"/>
  <c r="M18" i="4"/>
  <c r="J18" i="4"/>
  <c r="J17" i="4"/>
  <c r="M17" i="4" s="1"/>
  <c r="J12" i="4"/>
  <c r="M12" i="4" s="1"/>
  <c r="R15" i="4"/>
  <c r="R14" i="4"/>
  <c r="R13" i="4"/>
  <c r="R12" i="4"/>
  <c r="J11" i="4"/>
  <c r="M11" i="4" s="1"/>
  <c r="R11" i="4"/>
  <c r="R10" i="4"/>
  <c r="R9" i="4"/>
  <c r="R8" i="4"/>
  <c r="R7" i="4"/>
  <c r="J10" i="4"/>
  <c r="M10" i="4" s="1"/>
  <c r="J9" i="4"/>
  <c r="M9" i="4" s="1"/>
  <c r="M8" i="4"/>
  <c r="J8" i="4"/>
  <c r="J7" i="4"/>
  <c r="M7" i="4" s="1"/>
  <c r="J5" i="4"/>
  <c r="M5" i="4" s="1"/>
  <c r="R5" i="4"/>
  <c r="J17" i="3"/>
  <c r="M17" i="3" s="1"/>
  <c r="R14" i="3"/>
  <c r="R13" i="3"/>
  <c r="R12" i="3"/>
  <c r="J14" i="3"/>
  <c r="M14" i="3" s="1"/>
  <c r="J13" i="3"/>
  <c r="M13" i="3" s="1"/>
  <c r="J12" i="3"/>
  <c r="M12" i="3" s="1"/>
  <c r="R10" i="3"/>
  <c r="R9" i="3"/>
  <c r="R8" i="3"/>
  <c r="R7" i="3"/>
  <c r="M10" i="3"/>
  <c r="J10" i="3"/>
  <c r="J9" i="3"/>
  <c r="M9" i="3" s="1"/>
  <c r="J8" i="3"/>
  <c r="M8" i="3" s="1"/>
  <c r="J7" i="3"/>
  <c r="M7" i="3" s="1"/>
  <c r="J6" i="3"/>
  <c r="M6" i="3" s="1"/>
  <c r="R6" i="3"/>
  <c r="J5" i="3"/>
  <c r="M5" i="3" s="1"/>
  <c r="R5" i="3"/>
</calcChain>
</file>

<file path=xl/sharedStrings.xml><?xml version="1.0" encoding="utf-8"?>
<sst xmlns="http://schemas.openxmlformats.org/spreadsheetml/2006/main" count="2493" uniqueCount="403">
  <si>
    <t>予　　定　　献　　立　　表　</t>
    <rPh sb="0" eb="1">
      <t>ヨ</t>
    </rPh>
    <rPh sb="3" eb="4">
      <t>サダム</t>
    </rPh>
    <rPh sb="6" eb="7">
      <t>ケン</t>
    </rPh>
    <rPh sb="9" eb="10">
      <t>リツ</t>
    </rPh>
    <rPh sb="12" eb="13">
      <t>ヒョウ</t>
    </rPh>
    <phoneticPr fontId="3"/>
  </si>
  <si>
    <t>献立名</t>
    <rPh sb="0" eb="2">
      <t>コンダテ</t>
    </rPh>
    <rPh sb="2" eb="3">
      <t>メイ</t>
    </rPh>
    <phoneticPr fontId="3"/>
  </si>
  <si>
    <t>材料名</t>
    <rPh sb="0" eb="3">
      <t>ザイリョウメイ</t>
    </rPh>
    <phoneticPr fontId="3"/>
  </si>
  <si>
    <t>1-2歳児</t>
    <rPh sb="3" eb="5">
      <t>サイジ</t>
    </rPh>
    <phoneticPr fontId="3"/>
  </si>
  <si>
    <t>単位</t>
    <rPh sb="0" eb="2">
      <t>タンイ</t>
    </rPh>
    <phoneticPr fontId="3"/>
  </si>
  <si>
    <t>産地</t>
    <rPh sb="0" eb="2">
      <t>サンチ</t>
    </rPh>
    <phoneticPr fontId="3"/>
  </si>
  <si>
    <t>3-5歳児</t>
    <rPh sb="3" eb="4">
      <t>サイ</t>
    </rPh>
    <rPh sb="4" eb="5">
      <t>ジ</t>
    </rPh>
    <phoneticPr fontId="3"/>
  </si>
  <si>
    <t>廃棄込量</t>
    <rPh sb="0" eb="2">
      <t>ハイキ</t>
    </rPh>
    <rPh sb="2" eb="3">
      <t>コミ</t>
    </rPh>
    <rPh sb="3" eb="4">
      <t>リョウ</t>
    </rPh>
    <phoneticPr fontId="3"/>
  </si>
  <si>
    <t>作り方</t>
    <rPh sb="0" eb="1">
      <t>ツク</t>
    </rPh>
    <rPh sb="2" eb="3">
      <t>カタ</t>
    </rPh>
    <phoneticPr fontId="3"/>
  </si>
  <si>
    <t>お手持ち調味料</t>
    <rPh sb="1" eb="3">
      <t>テモ</t>
    </rPh>
    <rPh sb="4" eb="7">
      <t>チョウミリョウ</t>
    </rPh>
    <phoneticPr fontId="3"/>
  </si>
  <si>
    <t>１-2歳児分量
(g)</t>
    <rPh sb="3" eb="4">
      <t>サイ</t>
    </rPh>
    <rPh sb="4" eb="5">
      <t>ジ</t>
    </rPh>
    <rPh sb="5" eb="7">
      <t>ブンリョウ</t>
    </rPh>
    <phoneticPr fontId="3"/>
  </si>
  <si>
    <t>3-5歳児分量
(g)</t>
    <rPh sb="3" eb="5">
      <t>サイジ</t>
    </rPh>
    <rPh sb="5" eb="7">
      <t>ブンリョウ</t>
    </rPh>
    <phoneticPr fontId="3"/>
  </si>
  <si>
    <t>キッズ</t>
    <phoneticPr fontId="3"/>
  </si>
  <si>
    <t>※加熱調理する際は中心部75℃で1分以上加熱したことを確認して下さい。</t>
  </si>
  <si>
    <t>国内加工</t>
  </si>
  <si>
    <t>小麦</t>
  </si>
  <si>
    <t>g</t>
  </si>
  <si>
    <t>国産鶏もも小間(加熱用)</t>
  </si>
  <si>
    <t>日本</t>
  </si>
  <si>
    <t>白菜</t>
  </si>
  <si>
    <t>人参</t>
  </si>
  <si>
    <t>玉子</t>
  </si>
  <si>
    <t>卵</t>
  </si>
  <si>
    <t>ヶ</t>
  </si>
  <si>
    <t>出し汁</t>
  </si>
  <si>
    <t>みりん風調味料</t>
  </si>
  <si>
    <t>精製塩</t>
  </si>
  <si>
    <t>醤油</t>
  </si>
  <si>
    <t>片栗粉</t>
  </si>
  <si>
    <t>※加熱調理する際は中心部75℃で1分以上加熱したことを確認して下さい。_x000D_</t>
  </si>
  <si>
    <t>かぼちゃ</t>
  </si>
  <si>
    <t>パラグアイ、グァテマラ、メキシコ、ボリビア、エチオピア等</t>
  </si>
  <si>
    <t>油</t>
  </si>
  <si>
    <t>上白糖</t>
  </si>
  <si>
    <t>フルーツ（オレンジ）</t>
  </si>
  <si>
    <t>※原料のまま流水できれいに洗って下さい。</t>
  </si>
  <si>
    <t>ネーブル</t>
  </si>
  <si>
    <t>昼</t>
  </si>
  <si>
    <t>牛乳</t>
  </si>
  <si>
    <t>乳</t>
  </si>
  <si>
    <t>cc</t>
  </si>
  <si>
    <t>※水の量は調節して下さい。_x000D_</t>
  </si>
  <si>
    <t>ウインナー</t>
  </si>
  <si>
    <t>乳・卵・小麦</t>
  </si>
  <si>
    <t>本</t>
  </si>
  <si>
    <t>キャベツ</t>
  </si>
  <si>
    <t>冷凍カーネルコーン</t>
  </si>
  <si>
    <t>アメリカ</t>
  </si>
  <si>
    <t>小麦粉</t>
  </si>
  <si>
    <t>水</t>
  </si>
  <si>
    <t>マヨネーズ</t>
  </si>
  <si>
    <t>卵・小麦</t>
  </si>
  <si>
    <t>※誤嚥防止のために豆は軽く潰してもよいでしょう。_x000D_</t>
  </si>
  <si>
    <t>ご飯</t>
  </si>
  <si>
    <t>冷凍ちりめん干し</t>
  </si>
  <si>
    <t>※15</t>
  </si>
  <si>
    <t>玉ねぎ</t>
  </si>
  <si>
    <t>冷凍むき枝豆</t>
  </si>
  <si>
    <t>中国</t>
  </si>
  <si>
    <t>国産豚もも小間</t>
  </si>
  <si>
    <t>酒</t>
  </si>
  <si>
    <t>大根</t>
  </si>
  <si>
    <t>花かつおＰ</t>
  </si>
  <si>
    <t>Ｐ</t>
  </si>
  <si>
    <t>すまし汁</t>
  </si>
  <si>
    <t>花ふ</t>
  </si>
  <si>
    <t>長ねぎ</t>
  </si>
  <si>
    <t>フルーツ（パイン缶）</t>
  </si>
  <si>
    <t>インドネシア</t>
  </si>
  <si>
    <t>11月29日(金)配達/12月2日(月)食</t>
    <phoneticPr fontId="3"/>
  </si>
  <si>
    <t>ポークカレーライス</t>
  </si>
  <si>
    <t>①材料を食べやすい大きさに切り、芋は水にさらし、肉は酒をふります。_x000D_</t>
  </si>
  <si>
    <t>②熱した油で肉・野菜を炒めて、水・牛乳を加えて煮ます。_x000D_</t>
  </si>
  <si>
    <t>③材料が柔らかくなったらルーを加えて煮込み、砂糖・ケチャップで味を調えて下さい。_x000D_</t>
  </si>
  <si>
    <t>じゃが芋</t>
  </si>
  <si>
    <t>とろけるカレー　甘口</t>
  </si>
  <si>
    <t>ケチャップ</t>
  </si>
  <si>
    <t>キャベツとわかめのツナサラダ</t>
  </si>
  <si>
    <t>①野菜は食べやすい大きさに切って茹で冷まし、ワカメは茹で戻し冷まします。_x000D_</t>
  </si>
  <si>
    <t>②調味料は煮立て冷まし、①・汁気をきったツナを和えて下さい。_x000D_</t>
  </si>
  <si>
    <t>カットワカメ（韓国産）</t>
  </si>
  <si>
    <t>韓国</t>
  </si>
  <si>
    <t>ツナフレーク缶</t>
  </si>
  <si>
    <t>タイ</t>
  </si>
  <si>
    <t>フルーツ（りんご）</t>
  </si>
  <si>
    <t>りんご</t>
  </si>
  <si>
    <t>_x000D_</t>
  </si>
  <si>
    <t>枚</t>
  </si>
  <si>
    <t>国産鶏もも切身４０(加熱用)</t>
  </si>
  <si>
    <t>バター</t>
  </si>
  <si>
    <t>トマト</t>
  </si>
  <si>
    <t>酢</t>
  </si>
  <si>
    <t>みそ汁</t>
  </si>
  <si>
    <t>冷凍カット油揚げ</t>
  </si>
  <si>
    <t>味噌</t>
  </si>
  <si>
    <t>12月2日(月)配達/12月3日(火)食</t>
    <phoneticPr fontId="3"/>
  </si>
  <si>
    <t>鉄分強化！ふりかけご飯</t>
  </si>
  <si>
    <t>鉄ふりかけ　穀物</t>
  </si>
  <si>
    <t>※18</t>
  </si>
  <si>
    <t>煮込みハンバーグ</t>
  </si>
  <si>
    <t>①玉ねぎはみじん切りにし、炒めて塩・こしょうし冷まします。_x000D_</t>
  </si>
  <si>
    <t>②肉・①・牛乳にひたしたパン粉を粘りが出るまで練り混ぜて人数分の小判型にまとめます。_x000D_</t>
  </si>
  <si>
    <t>③フライパンに油を熱し、②を両面焼いて中まで火を通します。_x000D_</t>
  </si>
  <si>
    <t>④③に水・カットトマトパック・ケチャップ・ウスターソース・みりん・砂糖を加えて煮込みます。_x000D_</t>
  </si>
  <si>
    <t>⑤刻んで茹でたパセリを散らして下さい。_x000D_</t>
  </si>
  <si>
    <t>国産豚挽肉</t>
  </si>
  <si>
    <t>パン粉</t>
  </si>
  <si>
    <t>アメリカ、カナダ</t>
  </si>
  <si>
    <t>こしょう</t>
  </si>
  <si>
    <t>カットトマトパック</t>
  </si>
  <si>
    <t>ウスターソース</t>
  </si>
  <si>
    <t>パセリ</t>
  </si>
  <si>
    <t>大根サラダ</t>
  </si>
  <si>
    <t>①食べやすい大きさに切った野菜は茹で冷まします。_x000D_</t>
  </si>
  <si>
    <t>②調味料は煮立て冷まし、①を和えて下さい。_x000D_</t>
  </si>
  <si>
    <t>充てん豆腐</t>
  </si>
  <si>
    <t>丁</t>
  </si>
  <si>
    <t>骨抜き白糸タラ３０</t>
  </si>
  <si>
    <t>ノルウェー・中国</t>
  </si>
  <si>
    <t>切</t>
  </si>
  <si>
    <t>チンゲン菜</t>
  </si>
  <si>
    <t>ごま油</t>
  </si>
  <si>
    <t>冷凍国産大豆</t>
  </si>
  <si>
    <t>ごぼう</t>
  </si>
  <si>
    <t>えのき茸</t>
  </si>
  <si>
    <t>12月3日(火)配達/12月4日(水)食</t>
    <phoneticPr fontId="3"/>
  </si>
  <si>
    <t>秋鮭の漬け焼き</t>
  </si>
  <si>
    <t>①魚の水けを良くふき取って正油・みりん・酒に漬け込みます。_x000D_</t>
  </si>
  <si>
    <t>②油をひいたフライパン（又はグリル）で①を焼きます。_x000D_</t>
  </si>
  <si>
    <t>③野菜は食べやすい大きさに切り茹で冷まし、煮立て冷ましただし汁・正油・ごまで和えて、添えて下さい。_x000D_</t>
  </si>
  <si>
    <t>骨抜き秋鮭３０</t>
  </si>
  <si>
    <t>北海道・中国</t>
  </si>
  <si>
    <t>小松菜</t>
  </si>
  <si>
    <t>白すりごま</t>
  </si>
  <si>
    <t>豆腐と豚肉のうま煮</t>
  </si>
  <si>
    <t>冷凍グリンピース</t>
  </si>
  <si>
    <t>さつま芋</t>
  </si>
  <si>
    <t>フルーツ（みかん）</t>
  </si>
  <si>
    <t>みかん</t>
  </si>
  <si>
    <t>フルーツ（バナナ）</t>
  </si>
  <si>
    <t>バナナ</t>
  </si>
  <si>
    <t>もやし</t>
  </si>
  <si>
    <t>ほうれん草</t>
  </si>
  <si>
    <t>かぶ</t>
  </si>
  <si>
    <t>12月4日(水)配達/12月5日(木)食</t>
    <phoneticPr fontId="3"/>
  </si>
  <si>
    <t>スパゲティナポリタン</t>
  </si>
  <si>
    <t>①麺は9～10分ゆでてバターをからめます。_x000D_</t>
  </si>
  <si>
    <t>スパゲッティ</t>
  </si>
  <si>
    <t>カナダ</t>
  </si>
  <si>
    <t>ピーマン</t>
  </si>
  <si>
    <t>キャベツとごぼうの玉子サラダ</t>
  </si>
  <si>
    <t>①野菜は食べやすい大きさ切り、ごぼうは水にさらします。_x000D_</t>
  </si>
  <si>
    <t>②①・枝豆は茹で冷まし、玉子は茹で冷まして食べやすい大きさに切ります。_x000D_</t>
  </si>
  <si>
    <t>③調味料を煮立て冷まして、②を和えて下さい。_x000D_</t>
  </si>
  <si>
    <t>みるくスープ</t>
  </si>
  <si>
    <t>①野菜は食べやすい大きさに切ります。_x000D_</t>
  </si>
  <si>
    <t>※水溶き片栗粉の分量はとろみをみて調節して下さい。_x000D_</t>
  </si>
  <si>
    <t>コンソメ</t>
  </si>
  <si>
    <t>乳・小麦</t>
  </si>
  <si>
    <t>きゅうり</t>
  </si>
  <si>
    <t>鉄ふりかけ　大豆</t>
  </si>
  <si>
    <t>小麦※18</t>
    <phoneticPr fontId="17"/>
  </si>
  <si>
    <t>骨抜きカラスカレイ３０</t>
  </si>
  <si>
    <t>ロシア・中国</t>
  </si>
  <si>
    <t>12月5日(木)配達/12月6日(金)食</t>
    <phoneticPr fontId="3"/>
  </si>
  <si>
    <t>白糸タラのフライ</t>
  </si>
  <si>
    <t>①魚は水けを拭き取り、小麦粉・溶き玉子・パン粉をつけて揚げます。_x000D_</t>
  </si>
  <si>
    <t>②食べやすい大きさに切って茹でた野菜を添えて、お好みでソースを付けてお召し上がり下さい。_x000D_</t>
  </si>
  <si>
    <t>ブロッコリー</t>
  </si>
  <si>
    <t>もやしとわかめの中華和え</t>
  </si>
  <si>
    <t>②調味料を煮立て冷まし、①を加えて和えて下さい。_x000D_</t>
  </si>
  <si>
    <t>焼ふ</t>
  </si>
  <si>
    <t>骨抜き助宗タラ３０</t>
  </si>
  <si>
    <t>アメリカ・中国</t>
  </si>
  <si>
    <t>にんにく</t>
  </si>
  <si>
    <t>12月6日(金)配達/12月9日(月)食</t>
    <phoneticPr fontId="3"/>
  </si>
  <si>
    <t>カラスカレイのムニエル</t>
  </si>
  <si>
    <t>①魚は水気をよくふき取り酒をふり、小麦粉をまぶします。_x000D_</t>
  </si>
  <si>
    <t>②天板に油をしいて①を並べて180～200度のオーブンで15分焼く、又はフライパンで両面焼きます。_x000D_</t>
  </si>
  <si>
    <t>③溶かしバターをかけてさらに焼きます。_x000D_</t>
  </si>
  <si>
    <t>④トマトは茹でて食べやすい大きさに切って添えます。_x000D_</t>
  </si>
  <si>
    <t>ケチャップ・ウスターソースで作ったソースをかけてお召し上がり下さい。_x000D_</t>
  </si>
  <si>
    <t>豆腐の玉子とじ</t>
  </si>
  <si>
    <t>③油で野菜を炒めて、豆腐・出し汁・砂糖・酒・塩・正油を加え煮、溶き玉子を回し入れて下さい。_x000D_</t>
  </si>
  <si>
    <t>冷凍カットほうれん草ＩＱＦ</t>
  </si>
  <si>
    <t>12月9日(月)配達/12月10日(火)食</t>
    <phoneticPr fontId="3"/>
  </si>
  <si>
    <t>ポテトコロッケ</t>
  </si>
  <si>
    <t>①芋は皮をむき、茹でるか蒸してつぶし、冷まします。ツナは汁気をきります。_x000D_</t>
  </si>
  <si>
    <t>②玉ねぎはみじん切りにし、油で炒め合わせて塩・こしょうして冷まします。_x000D_</t>
  </si>
  <si>
    <t>④キャベツはせん切りして茹で、添えて下さい。_x000D_</t>
  </si>
  <si>
    <t>お豆のころころサラダ</t>
  </si>
  <si>
    <t>①角切りにした野菜・大豆は茹で冷まします。_x000D_</t>
  </si>
  <si>
    <t>舞茸</t>
  </si>
  <si>
    <t>12月10日(火)配達/12月11日(水)食</t>
    <phoneticPr fontId="3"/>
  </si>
  <si>
    <t>おかか混ぜご飯</t>
  </si>
  <si>
    <t>冬野菜のごろごろポトフ</t>
  </si>
  <si>
    <t>①材料は食べやすい大きさに切り、れんこんは水にさらします。_x000D_</t>
  </si>
  <si>
    <t>②材料を水・コンソメで煮て、塩・こしょうで味を調えてください。_x000D_</t>
  </si>
  <si>
    <t>れんこん</t>
  </si>
  <si>
    <t>マカロニサラダ</t>
  </si>
  <si>
    <t>①マカロニは10～12分程茹で、やわらかくなったら冷まします。コーンは茹で冷まします。_x000D_</t>
  </si>
  <si>
    <t>②調味料は煮立て冷まし①を和え、茹でて刻んだパセリを散らして下さい。_x000D_</t>
  </si>
  <si>
    <t>マカロニ</t>
  </si>
  <si>
    <t>12月11日(水)配達/12月12日(木)食</t>
    <phoneticPr fontId="3"/>
  </si>
  <si>
    <t>小麦※18</t>
    <phoneticPr fontId="17"/>
  </si>
  <si>
    <t>助宗タラの揚げ煮</t>
  </si>
  <si>
    <t>①魚は食べやすい大きさに切って水気を拭き取り、酒をふります。_x000D_</t>
  </si>
  <si>
    <t>②①に片栗粉をまぶして揚げ、煮立てた調味料で煮ます。_x000D_</t>
  </si>
  <si>
    <t>切干大根煮</t>
  </si>
  <si>
    <t>①切干大根は水で戻してザク切りにします。人参は細切りにし、エビは刻みます。_x000D_</t>
  </si>
  <si>
    <t>②材料を炒め合わせて、出し汁・砂糖・みりん・正油で煮て下さい。_x000D_</t>
  </si>
  <si>
    <t>切干大根</t>
  </si>
  <si>
    <t>小海老</t>
  </si>
  <si>
    <t>ベトナム</t>
  </si>
  <si>
    <t>かぼちゃのオムレツ</t>
  </si>
  <si>
    <t>①玉ねぎは薄切り、かぼちゃは食べやすい大きさの薄切りにします。_x000D_</t>
  </si>
  <si>
    <t>②油で①を炒め合わせ、かぼちゃがやわらかくなったら塩・こしょうして冷まし、溶き玉子に混ぜ合わせます。_x000D_</t>
  </si>
  <si>
    <t>③フライパンに油を熱し、②を焼き（途中ひっくり返して下さい）、食べやすい大きさに切って器に盛ります。_x000D_</t>
  </si>
  <si>
    <t>④食べやすい大きさに切って茹でたチンゲン菜を添え、オムレツにケチャップをかけてお召し上がり下さい。_x000D_</t>
  </si>
  <si>
    <t>豆腐とわかめのじゃこ煮</t>
  </si>
  <si>
    <t>①豆腐は水気をきって、食べやすい大きさに切ります。ちりめん干しは食べやすく刻みます。ワカメは戻します。_x000D_</t>
  </si>
  <si>
    <t>③最後にワカメを加えて煮、片栗粉でとろみをつけて下さい。_x000D_</t>
  </si>
  <si>
    <t>※とろみをみて片栗粉の分量は調節して下さい。_x000D_</t>
  </si>
  <si>
    <t>スープ</t>
  </si>
  <si>
    <t>12月13日(金)配達/12月16日(月)食</t>
    <phoneticPr fontId="3"/>
  </si>
  <si>
    <t>12月16日(月)配達/12月17日(火)食</t>
    <phoneticPr fontId="3"/>
  </si>
  <si>
    <t>12月17日(火)配達/12月18日(水)食</t>
    <phoneticPr fontId="3"/>
  </si>
  <si>
    <t>12月18日(水)配達/12月19日(木)食</t>
    <phoneticPr fontId="3"/>
  </si>
  <si>
    <t>12月19日(木)配達/12月20日(金)食</t>
    <phoneticPr fontId="3"/>
  </si>
  <si>
    <t>●冬至かぼちゃ</t>
  </si>
  <si>
    <t>②ひたひたの水・調味料で①・小豆を煮含めて下さい。_x000D_</t>
  </si>
  <si>
    <t>茹小豆缶</t>
  </si>
  <si>
    <t>12月20日(金)配達/12月23日(月)食</t>
    <phoneticPr fontId="3"/>
  </si>
  <si>
    <t>12月23日(月)配達/12月24日(火)食</t>
    <phoneticPr fontId="3"/>
  </si>
  <si>
    <t>12月24日(火)配達/12月25日(水)食</t>
    <phoneticPr fontId="3"/>
  </si>
  <si>
    <t>●クリスマスツリーライス</t>
  </si>
  <si>
    <t>①ウインナーは端を切り落とし食べやすい大きさに切ります。残りは縦に半分に切り茹でます。_x000D_</t>
  </si>
  <si>
    <t>③ほうれん草を茹で、水気を切ってみじん切りして炊きあがったご飯に混ぜます。_x000D_</t>
  </si>
  <si>
    <t>④星ポテは揚げる・レンジ・トースターいずれかの方法で加熱します。_x000D_</t>
  </si>
  <si>
    <t>⑤③のご飯を縦長の三角に盛り付け、ツリーを作って下さい。_x000D_</t>
  </si>
  <si>
    <t>※写真を参考に盛り付けて下さい。_x000D_</t>
  </si>
  <si>
    <t>冷凍星ポテ</t>
  </si>
  <si>
    <t>ローストチキン</t>
  </si>
  <si>
    <t>①にんにくはすりおろします。_x000D_</t>
  </si>
  <si>
    <t>②①・薄切りにした玉ねぎ・みりん・正油を合わせて肉を漬け込みます。_x000D_</t>
  </si>
  <si>
    <t>③肉を油をぬった天板に並べて220～230℃で20分程度で焼きます。_x000D_</t>
  </si>
  <si>
    <t>④食べやすい大きさに切って水・砂糖で煮た人参を添えて下さい。_x000D_</t>
  </si>
  <si>
    <t>※肉はお好みで食べやすい大きさに切って下さい。_x000D_</t>
  </si>
  <si>
    <t>※にんにくの量は施設で調節してください。_x000D_</t>
  </si>
  <si>
    <t>ブロッコリーとマカロニのサラダ</t>
  </si>
  <si>
    <t>①マカロニは10～12分程茹で、やわらかくなったら冷まします。野菜は食べやすい大きさに切って茹で冷まします。_x000D_</t>
  </si>
  <si>
    <t>②調味料を煮立てて冷まし、①を和えて下さい。_x000D_</t>
  </si>
  <si>
    <t>12月24日(火)配達/12月26日(木)食</t>
    <phoneticPr fontId="3"/>
  </si>
  <si>
    <t>※芋をやわらかくなるまで電子レンジで加熱又は茹で冷まし、</t>
    <phoneticPr fontId="17"/>
  </si>
  <si>
    <t>他の材料を煮込んだ後に加えると、煮崩れを防ぐことができます。</t>
  </si>
  <si>
    <t>①豆腐は水きりして食べやすい大きさに切り、肉は酒をふります。_x000D_</t>
    <phoneticPr fontId="17"/>
  </si>
  <si>
    <t>②肉・食べやすい大きさに切った野菜をごま油で炒め、豆腐を加えて調味料で煮て、</t>
    <rPh sb="3" eb="4">
      <t>タ</t>
    </rPh>
    <rPh sb="8" eb="9">
      <t>オオ</t>
    </rPh>
    <rPh sb="12" eb="13">
      <t>キ</t>
    </rPh>
    <phoneticPr fontId="17"/>
  </si>
  <si>
    <t>茹でたグリンピースを散らして下さい。</t>
  </si>
  <si>
    <t>②材料は食べやすい大きさに切って油で炒め合わせ、めんを加えて</t>
    <phoneticPr fontId="17"/>
  </si>
  <si>
    <t>ケチャップ・ウスターソース・砂糖で調味して下さい。</t>
  </si>
  <si>
    <t>②水・コンソメで食材を煮て、やわらかくなったら牛乳を加えて煮、塩・バターで味を調え、</t>
    <phoneticPr fontId="17"/>
  </si>
  <si>
    <t>水溶き片栗粉でとろみをつけて下さい。</t>
  </si>
  <si>
    <t>①食べやすい大きさに切った野菜は茹で冷まします。_x000D_ワカメは戻して茹で冷まします。</t>
    <rPh sb="29" eb="30">
      <t>モド</t>
    </rPh>
    <rPh sb="32" eb="33">
      <t>ユ</t>
    </rPh>
    <rPh sb="34" eb="35">
      <t>サ</t>
    </rPh>
    <phoneticPr fontId="17"/>
  </si>
  <si>
    <t>①かぼちゃは角切りにします。_x000D_</t>
    <phoneticPr fontId="17"/>
  </si>
  <si>
    <t>②人参は食べやすい大きさに切ります。</t>
    <rPh sb="4" eb="5">
      <t>タ</t>
    </rPh>
    <rPh sb="9" eb="10">
      <t>オオ</t>
    </rPh>
    <rPh sb="13" eb="14">
      <t>キ</t>
    </rPh>
    <phoneticPr fontId="17"/>
  </si>
  <si>
    <t>①豆腐は水きりし、食べやすい大きさに切ります。_x000D_</t>
    <phoneticPr fontId="17"/>
  </si>
  <si>
    <t>③①・②を混ぜ合わせて小判型にまとめ、小麦粉・水溶き小麦粉・パン粉の順にまぶして</t>
    <phoneticPr fontId="17"/>
  </si>
  <si>
    <t>160～170℃の油で揚げます。</t>
  </si>
  <si>
    <t>②洗った米に水（通常の水加減）・バター・コンソメを加えてひと混ぜし、</t>
    <phoneticPr fontId="17"/>
  </si>
  <si>
    <t>上にコーン・切り落とした端のウインナーを広げてのせ、炊飯します。</t>
  </si>
  <si>
    <t>☆イベントメニュー☆</t>
    <phoneticPr fontId="17"/>
  </si>
  <si>
    <t>12月12日(木)配達/12月13日(金)食</t>
    <phoneticPr fontId="3"/>
  </si>
  <si>
    <t>②野菜は食べやすい大きさに切り炒め、豆腐・ちりめん干しを加えて調味料で煮ます。_x000D_</t>
  </si>
  <si>
    <t>12月25日(水)配達/12月27日(金)食</t>
    <phoneticPr fontId="3"/>
  </si>
  <si>
    <t>パイン缶　</t>
    <phoneticPr fontId="19"/>
  </si>
  <si>
    <t>パイン缶　</t>
    <phoneticPr fontId="19"/>
  </si>
  <si>
    <t>＜盛り付けイメージ＞</t>
    <rPh sb="1" eb="2">
      <t>モ</t>
    </rPh>
    <rPh sb="3" eb="4">
      <t>ツ</t>
    </rPh>
    <phoneticPr fontId="17"/>
  </si>
  <si>
    <t>　</t>
    <phoneticPr fontId="17"/>
  </si>
  <si>
    <t>えび※35</t>
    <phoneticPr fontId="17"/>
  </si>
  <si>
    <t>①花かつお・正油を炒り、炊き上がったごはんに混ぜて下さい。・</t>
    <phoneticPr fontId="17"/>
  </si>
  <si>
    <t>③食べやすい大きさに切って茹でた野菜を添えて下さい。_x000D_</t>
    <rPh sb="13" eb="14">
      <t>ユ</t>
    </rPh>
    <phoneticPr fontId="17"/>
  </si>
  <si>
    <t>特定アレルゲン表示　　　　　　　　　　　　　　　　　　　　　　　　　　　　　　　　　　　　　　　　　　　　　　　　　　　　　　　　　　　　　　　　　　　　　　　　　　　　　　　　　　　　　　　　　　　　　　　　　　　　　　　　　　　　　　　　　　　　　　　　　　　　　　　　　　　　　　　　　　　　　　　　　　　　　　　　　　　　　　　</t>
    <rPh sb="0" eb="2">
      <t>トクテイ</t>
    </rPh>
    <rPh sb="7" eb="9">
      <t>ヒョウジ</t>
    </rPh>
    <phoneticPr fontId="3"/>
  </si>
  <si>
    <t>キッズ</t>
    <phoneticPr fontId="3"/>
  </si>
  <si>
    <t>昼食</t>
    <rPh sb="0" eb="2">
      <t>チュウショク</t>
    </rPh>
    <phoneticPr fontId="3"/>
  </si>
  <si>
    <t>３色食品群</t>
    <rPh sb="1" eb="2">
      <t>ショク</t>
    </rPh>
    <rPh sb="2" eb="5">
      <t>ショクヒングン</t>
    </rPh>
    <phoneticPr fontId="3"/>
  </si>
  <si>
    <t>1～2歳児</t>
    <rPh sb="3" eb="4">
      <t>サイ</t>
    </rPh>
    <rPh sb="4" eb="5">
      <t>ジ</t>
    </rPh>
    <phoneticPr fontId="3"/>
  </si>
  <si>
    <t>熱や力になるもの</t>
    <rPh sb="0" eb="1">
      <t>ネツ</t>
    </rPh>
    <rPh sb="2" eb="3">
      <t>チカラ</t>
    </rPh>
    <phoneticPr fontId="3"/>
  </si>
  <si>
    <t>血や肉や骨に           なるもの</t>
    <rPh sb="0" eb="1">
      <t>チ</t>
    </rPh>
    <rPh sb="2" eb="3">
      <t>ニク</t>
    </rPh>
    <rPh sb="4" eb="5">
      <t>ホネ</t>
    </rPh>
    <phoneticPr fontId="3"/>
  </si>
  <si>
    <t>体の調子を              整えるもの</t>
    <rPh sb="0" eb="1">
      <t>カラダ</t>
    </rPh>
    <rPh sb="2" eb="4">
      <t>チョウシ</t>
    </rPh>
    <rPh sb="19" eb="20">
      <t>トトノ</t>
    </rPh>
    <phoneticPr fontId="3"/>
  </si>
  <si>
    <t>エネルギー
たんぱく質
脂質
炭水化物
塩分</t>
    <phoneticPr fontId="3"/>
  </si>
  <si>
    <r>
      <t xml:space="preserve">アレルギー
</t>
    </r>
    <r>
      <rPr>
        <sz val="5"/>
        <rFont val="ＭＳ Ｐ明朝"/>
        <family val="1"/>
        <charset val="128"/>
      </rPr>
      <t>（乳・卵・小麦・落花生・そば・えび・かに）</t>
    </r>
    <rPh sb="7" eb="8">
      <t>ニュウ</t>
    </rPh>
    <rPh sb="9" eb="10">
      <t>タマゴ</t>
    </rPh>
    <rPh sb="11" eb="13">
      <t>コムギ</t>
    </rPh>
    <rPh sb="14" eb="17">
      <t>ラッカセイ</t>
    </rPh>
    <phoneticPr fontId="3"/>
  </si>
  <si>
    <t>おやつ</t>
    <phoneticPr fontId="3"/>
  </si>
  <si>
    <t>月</t>
  </si>
  <si>
    <t>ご飯・じゃが芋・マヨネーズ・砂糖・油･ホットケーキミックス</t>
    <phoneticPr fontId="30"/>
  </si>
  <si>
    <t>ツナフレーク缶・牛乳・豚肉</t>
  </si>
  <si>
    <t>キャベツ・りんご・ワカメ・玉ねぎ・人参</t>
  </si>
  <si>
    <t>kcal</t>
  </si>
  <si>
    <t>ご飯・じゃが芋・マヨネーズ・砂糖・油･ホットケーキミックス</t>
    <phoneticPr fontId="30"/>
  </si>
  <si>
    <t>ツナフレーク缶・牛乳・豚肉</t>
    <phoneticPr fontId="30"/>
  </si>
  <si>
    <t>kcal</t>
    <phoneticPr fontId="3"/>
  </si>
  <si>
    <t>ｇ</t>
    <phoneticPr fontId="3"/>
  </si>
  <si>
    <t>味噌蒸しパン</t>
    <rPh sb="0" eb="2">
      <t>ミソ</t>
    </rPh>
    <rPh sb="2" eb="3">
      <t>ム</t>
    </rPh>
    <phoneticPr fontId="30"/>
  </si>
  <si>
    <t>g</t>
    <phoneticPr fontId="3"/>
  </si>
  <si>
    <t>火</t>
  </si>
  <si>
    <t>ご飯・パン粉・花ふ・砂糖・油･そうめん･</t>
    <phoneticPr fontId="30"/>
  </si>
  <si>
    <t>牛乳・玉子・豚肉</t>
  </si>
  <si>
    <t>カットトマトパック・パセリ・玉ねぎ・人参・大根･青のり</t>
    <rPh sb="24" eb="25">
      <t>アオ</t>
    </rPh>
    <phoneticPr fontId="30"/>
  </si>
  <si>
    <t>kcal</t>
    <phoneticPr fontId="3"/>
  </si>
  <si>
    <t>乳・卵・小麦_x000D_
※18</t>
    <phoneticPr fontId="3"/>
  </si>
  <si>
    <t>ご飯・パン粉・花ふ・砂糖・油･そうめん</t>
    <phoneticPr fontId="30"/>
  </si>
  <si>
    <t>ｇ</t>
    <phoneticPr fontId="3"/>
  </si>
  <si>
    <t>にゅう麺</t>
    <rPh sb="3" eb="4">
      <t>メン</t>
    </rPh>
    <phoneticPr fontId="30"/>
  </si>
  <si>
    <t>g</t>
    <phoneticPr fontId="3"/>
  </si>
  <si>
    <t>ごま・ごま油・ご飯・さつま芋・油･ホットケーキミックス</t>
    <phoneticPr fontId="30"/>
  </si>
  <si>
    <t>牛乳･秋鮭・豆腐・豚肉</t>
    <rPh sb="0" eb="2">
      <t>ギュウニュウ</t>
    </rPh>
    <phoneticPr fontId="30"/>
  </si>
  <si>
    <t>グリンピース・みかん・ワカメ・小松菜・人参・長ねぎ</t>
  </si>
  <si>
    <t>kcal</t>
    <phoneticPr fontId="3"/>
  </si>
  <si>
    <t>風船ドーナツ</t>
    <rPh sb="0" eb="2">
      <t>フウセン</t>
    </rPh>
    <phoneticPr fontId="30"/>
  </si>
  <si>
    <t>木</t>
  </si>
  <si>
    <t>スパゲッティ・バター・砂糖・片栗粉・油</t>
  </si>
  <si>
    <t>牛乳・玉子・鶏肉･鮭</t>
    <rPh sb="9" eb="10">
      <t>サケ</t>
    </rPh>
    <phoneticPr fontId="30"/>
  </si>
  <si>
    <t>キャベツ・コーン・ごぼう・ピーマン・玉ねぎ・枝豆・人参･パセリ</t>
    <phoneticPr fontId="30"/>
  </si>
  <si>
    <t>鮭チャーハン</t>
    <rPh sb="0" eb="1">
      <t>サケ</t>
    </rPh>
    <phoneticPr fontId="30"/>
  </si>
  <si>
    <t>金</t>
  </si>
  <si>
    <t>ごま油・ご飯・パン粉・砂糖・小麦粉・焼ふ・油･バームクーヘン･せんべい</t>
    <phoneticPr fontId="30"/>
  </si>
  <si>
    <t>牛乳･シロイトタラ・玉子</t>
    <rPh sb="0" eb="2">
      <t>ギュウニュウ</t>
    </rPh>
    <phoneticPr fontId="30"/>
  </si>
  <si>
    <t>かぼちゃ・バナナ・ブロッコリー・もやし・ワカメ・人参</t>
  </si>
  <si>
    <t>kcal</t>
    <phoneticPr fontId="3"/>
  </si>
  <si>
    <t>20
金</t>
    <rPh sb="3" eb="4">
      <t>キン</t>
    </rPh>
    <phoneticPr fontId="3"/>
  </si>
  <si>
    <t>イベント献立</t>
    <rPh sb="4" eb="6">
      <t>コンダテ</t>
    </rPh>
    <phoneticPr fontId="3"/>
  </si>
  <si>
    <t>ご飯・パン粉・小麦粉・焼ふ・油･クッキー･せんべい</t>
    <phoneticPr fontId="30"/>
  </si>
  <si>
    <t>牛乳･シロイトタラ・玉子・茹小豆缶</t>
    <rPh sb="0" eb="2">
      <t>ギュウニュウ</t>
    </rPh>
    <phoneticPr fontId="30"/>
  </si>
  <si>
    <t>かぼちゃ・バナナ・ブロッコリー・もやし・人参</t>
  </si>
  <si>
    <t>ｇ</t>
    <phoneticPr fontId="3"/>
  </si>
  <si>
    <t>バームクーヘン</t>
    <phoneticPr fontId="30"/>
  </si>
  <si>
    <t>南瓜クッキー</t>
    <rPh sb="0" eb="2">
      <t>カボチャ</t>
    </rPh>
    <phoneticPr fontId="30"/>
  </si>
  <si>
    <t>せんべい</t>
    <phoneticPr fontId="30"/>
  </si>
  <si>
    <t>冬至かぼちゃ</t>
    <phoneticPr fontId="3"/>
  </si>
  <si>
    <t>ご飯・バター・砂糖・小麦粉・油･ホットケーキミックス</t>
    <phoneticPr fontId="30"/>
  </si>
  <si>
    <t>牛乳･カラスカレイ・玉子・豆腐･チーズ</t>
    <rPh sb="0" eb="2">
      <t>ギュウニュウ</t>
    </rPh>
    <phoneticPr fontId="30"/>
  </si>
  <si>
    <t>オレンジ・トマト・ほうれん草・ワカメ・玉ねぎ・人参</t>
  </si>
  <si>
    <t>ご飯・バター・砂糖・小麦粉・油･ホットケーキミックス</t>
    <phoneticPr fontId="30"/>
  </si>
  <si>
    <t>kcal</t>
    <phoneticPr fontId="3"/>
  </si>
  <si>
    <t>ｇ</t>
    <phoneticPr fontId="3"/>
  </si>
  <si>
    <t>チーズ入りカップケーキ</t>
    <rPh sb="3" eb="4">
      <t>イ</t>
    </rPh>
    <phoneticPr fontId="30"/>
  </si>
  <si>
    <t>ご飯・じゃが芋・パン粉・マヨネーズ・砂糖・小麦粉・焼ふ・油･マカロニ</t>
    <phoneticPr fontId="30"/>
  </si>
  <si>
    <t>牛乳･ツナフレーク缶・大豆･きなこ</t>
    <rPh sb="0" eb="2">
      <t>ギュウニュウ</t>
    </rPh>
    <phoneticPr fontId="30"/>
  </si>
  <si>
    <t>キャベツ・きゅうり・玉ねぎ・人参・舞茸</t>
  </si>
  <si>
    <t>ご飯・じゃが芋・パン粉・マヨネーズ・砂糖・小麦粉・焼ふ・油･マカロニ</t>
    <phoneticPr fontId="30"/>
  </si>
  <si>
    <t>ｇ</t>
    <phoneticPr fontId="3"/>
  </si>
  <si>
    <t>マカロニきなこ</t>
    <phoneticPr fontId="30"/>
  </si>
  <si>
    <t>11
水</t>
    <rPh sb="3" eb="4">
      <t>スイ</t>
    </rPh>
    <phoneticPr fontId="3"/>
  </si>
  <si>
    <t>ご飯・マカロニ・マヨネーズ・砂糖･ホットケーキミックス</t>
    <phoneticPr fontId="30"/>
  </si>
  <si>
    <t>牛乳･花かつお・鶏肉</t>
    <rPh sb="0" eb="2">
      <t>ギュウニュウ</t>
    </rPh>
    <phoneticPr fontId="30"/>
  </si>
  <si>
    <t>かぶ・コーン・パセリ・ブロッコリー・みかん・れんこん・人参・白菜･フルーツ缶</t>
    <rPh sb="37" eb="38">
      <t>カン</t>
    </rPh>
    <phoneticPr fontId="30"/>
  </si>
  <si>
    <t>kcal</t>
    <phoneticPr fontId="3"/>
  </si>
  <si>
    <t>25
水</t>
    <rPh sb="3" eb="4">
      <t>スイ</t>
    </rPh>
    <phoneticPr fontId="3"/>
  </si>
  <si>
    <t>クリスマスツリーライス</t>
    <phoneticPr fontId="3"/>
  </si>
  <si>
    <t>ご飯・バター・マカロニ・マヨネーズ・砂糖・星ポテ・油・カステラ･イチゴジャム</t>
    <phoneticPr fontId="30"/>
  </si>
  <si>
    <t>牛乳･ウインナー・鶏肉</t>
    <rPh sb="0" eb="2">
      <t>ギュウニュウ</t>
    </rPh>
    <phoneticPr fontId="30"/>
  </si>
  <si>
    <t>コーン・にんにく・ブロッコリー・ほうれん草・みかん・玉ねぎ・人参･フルーツ缶</t>
    <rPh sb="37" eb="38">
      <t>カン</t>
    </rPh>
    <phoneticPr fontId="30"/>
  </si>
  <si>
    <t>フルーツ入り蒸しパン</t>
    <rPh sb="4" eb="5">
      <t>イ</t>
    </rPh>
    <rPh sb="6" eb="7">
      <t>ム</t>
    </rPh>
    <phoneticPr fontId="30"/>
  </si>
  <si>
    <t>ミニケーキ</t>
    <phoneticPr fontId="30"/>
  </si>
  <si>
    <t>ご飯・花ふ・砂糖・片栗粉・油</t>
  </si>
  <si>
    <t>牛乳・スケソウタラ・油揚げ</t>
    <rPh sb="0" eb="2">
      <t>ギュウニュウ</t>
    </rPh>
    <phoneticPr fontId="30"/>
  </si>
  <si>
    <t>りんご・玉ねぎ・小海老・小松菜・人参・切干大根</t>
  </si>
  <si>
    <t>小麦・えび_x000D_
※18・※35</t>
    <phoneticPr fontId="3"/>
  </si>
  <si>
    <t>牛乳･スケソウタラ・油揚げ</t>
    <rPh sb="0" eb="2">
      <t>ギュウニュウ</t>
    </rPh>
    <phoneticPr fontId="30"/>
  </si>
  <si>
    <t>小麦・えび_x000D_
※18・※35</t>
    <phoneticPr fontId="3"/>
  </si>
  <si>
    <t>ジャムサンド</t>
    <phoneticPr fontId="30"/>
  </si>
  <si>
    <t>ごま油・ご飯・片栗粉・油･鈴カステラ･クラッカー</t>
    <rPh sb="13" eb="14">
      <t>スズ</t>
    </rPh>
    <phoneticPr fontId="30"/>
  </si>
  <si>
    <t>牛乳･ちりめん干し・玉子・豆腐</t>
    <rPh sb="0" eb="2">
      <t>ギュウニュウ</t>
    </rPh>
    <phoneticPr fontId="30"/>
  </si>
  <si>
    <t>えのき茸・かぼちゃ・チンゲン菜・バナナ・もやし・ワカメ・玉ねぎ・人参</t>
  </si>
  <si>
    <t>乳・卵・小麦_x000D_
※15</t>
    <phoneticPr fontId="3"/>
  </si>
  <si>
    <t>ごま油・ご飯・片栗粉・油･パイ･せんべい</t>
    <phoneticPr fontId="30"/>
  </si>
  <si>
    <t>えのき茸・かぼちゃ・チンゲン菜・パイナップル缶・ワカメ・玉ねぎ・人参・大根</t>
  </si>
  <si>
    <t>kcal</t>
    <phoneticPr fontId="3"/>
  </si>
  <si>
    <t>乳・卵・小麦_x000D_
※15</t>
    <phoneticPr fontId="3"/>
  </si>
  <si>
    <t>ｇ</t>
    <phoneticPr fontId="3"/>
  </si>
  <si>
    <t>鈴カステラ</t>
    <rPh sb="0" eb="1">
      <t>スズ</t>
    </rPh>
    <phoneticPr fontId="30"/>
  </si>
  <si>
    <t>パイ</t>
    <phoneticPr fontId="30"/>
  </si>
  <si>
    <t>クラッカー</t>
    <phoneticPr fontId="30"/>
  </si>
  <si>
    <t>せんべい</t>
    <phoneticPr fontId="30"/>
  </si>
  <si>
    <t>年齢</t>
    <rPh sb="0" eb="2">
      <t>ネンレイ</t>
    </rPh>
    <phoneticPr fontId="3"/>
  </si>
  <si>
    <t>給与栄養目標量</t>
    <rPh sb="0" eb="2">
      <t>キュウヨ</t>
    </rPh>
    <rPh sb="2" eb="4">
      <t>エイヨウ</t>
    </rPh>
    <rPh sb="4" eb="6">
      <t>モクヒョウ</t>
    </rPh>
    <rPh sb="6" eb="7">
      <t>リョウ</t>
    </rPh>
    <phoneticPr fontId="3"/>
  </si>
  <si>
    <t>当月平均給与栄養量</t>
    <rPh sb="0" eb="2">
      <t>トウゲツ</t>
    </rPh>
    <rPh sb="2" eb="4">
      <t>ヘイキン</t>
    </rPh>
    <rPh sb="4" eb="6">
      <t>キュウヨ</t>
    </rPh>
    <rPh sb="6" eb="8">
      <t>エイヨウ</t>
    </rPh>
    <rPh sb="8" eb="9">
      <t>リョウ</t>
    </rPh>
    <phoneticPr fontId="3"/>
  </si>
  <si>
    <t>※３色食品群は食品中に含まれる栄養素を見た目で分かりやすくする為の目安です。　香辛料や正油・みそなどの調味料は３色食品群に分類されない為、記載しておりません。</t>
    <rPh sb="2" eb="3">
      <t>ショク</t>
    </rPh>
    <rPh sb="3" eb="6">
      <t>ショクヒングン</t>
    </rPh>
    <rPh sb="7" eb="10">
      <t>ショクヒンチュウ</t>
    </rPh>
    <rPh sb="11" eb="12">
      <t>フク</t>
    </rPh>
    <rPh sb="15" eb="18">
      <t>エイヨウソ</t>
    </rPh>
    <rPh sb="19" eb="20">
      <t>ミ</t>
    </rPh>
    <rPh sb="21" eb="22">
      <t>メ</t>
    </rPh>
    <rPh sb="23" eb="24">
      <t>ワ</t>
    </rPh>
    <rPh sb="31" eb="32">
      <t>タメ</t>
    </rPh>
    <rPh sb="33" eb="35">
      <t>メヤス</t>
    </rPh>
    <rPh sb="39" eb="42">
      <t>コウシンリョウ</t>
    </rPh>
    <rPh sb="43" eb="44">
      <t>ショウ</t>
    </rPh>
    <rPh sb="44" eb="45">
      <t>ユ</t>
    </rPh>
    <rPh sb="51" eb="53">
      <t>チョウミ</t>
    </rPh>
    <rPh sb="53" eb="54">
      <t>リョウ</t>
    </rPh>
    <rPh sb="56" eb="57">
      <t>ショク</t>
    </rPh>
    <rPh sb="57" eb="60">
      <t>ショクヒングン</t>
    </rPh>
    <rPh sb="61" eb="63">
      <t>ブンルイ</t>
    </rPh>
    <rPh sb="67" eb="68">
      <t>タメ</t>
    </rPh>
    <rPh sb="69" eb="71">
      <t>キサイ</t>
    </rPh>
    <phoneticPr fontId="3"/>
  </si>
  <si>
    <t>ｴﾈﾙｷﾞｰ/たんぱく質/脂質/炭水化物/塩分</t>
    <rPh sb="11" eb="12">
      <t>シツ</t>
    </rPh>
    <rPh sb="13" eb="15">
      <t>シシツ</t>
    </rPh>
    <rPh sb="16" eb="20">
      <t>タンスイカブツ</t>
    </rPh>
    <rPh sb="21" eb="23">
      <t>エンブン</t>
    </rPh>
    <phoneticPr fontId="3"/>
  </si>
  <si>
    <t>エネルギーkcal</t>
    <phoneticPr fontId="3"/>
  </si>
  <si>
    <t>たんぱく質ｇ</t>
    <rPh sb="4" eb="5">
      <t>シツ</t>
    </rPh>
    <phoneticPr fontId="3"/>
  </si>
  <si>
    <t>脂質ｇ</t>
    <rPh sb="0" eb="2">
      <t>シシツ</t>
    </rPh>
    <phoneticPr fontId="3"/>
  </si>
  <si>
    <t>炭水化物ｇ</t>
    <rPh sb="0" eb="4">
      <t>タンスイカブツ</t>
    </rPh>
    <phoneticPr fontId="3"/>
  </si>
  <si>
    <t>塩分ｇ</t>
    <rPh sb="0" eb="2">
      <t>エンブン</t>
    </rPh>
    <phoneticPr fontId="3"/>
  </si>
  <si>
    <t>※調味料のアレルギー表示は弊社でお届けしたものに限ります。また、コンタミ等のアレルギーの詳細は「予定献立表」でご確認下さい。</t>
    <rPh sb="36" eb="37">
      <t>ナド</t>
    </rPh>
    <rPh sb="44" eb="46">
      <t>ショウサイ</t>
    </rPh>
    <rPh sb="48" eb="50">
      <t>ヨテイ</t>
    </rPh>
    <rPh sb="50" eb="52">
      <t>コンダテ</t>
    </rPh>
    <rPh sb="52" eb="53">
      <t>ヒョウ</t>
    </rPh>
    <rPh sb="56" eb="59">
      <t>カクニンクダ</t>
    </rPh>
    <phoneticPr fontId="3"/>
  </si>
  <si>
    <t>1～2</t>
    <phoneticPr fontId="3"/>
  </si>
  <si>
    <t>歳</t>
    <rPh sb="0" eb="1">
      <t>サイ</t>
    </rPh>
    <phoneticPr fontId="3"/>
  </si>
  <si>
    <t>285/11.8/7.9/41.7/0.9未満</t>
    <rPh sb="21" eb="23">
      <t>ミマン</t>
    </rPh>
    <phoneticPr fontId="3"/>
  </si>
  <si>
    <t>※都合により、献立を変更する場合がございます。</t>
    <rPh sb="1" eb="3">
      <t>ツゴウ</t>
    </rPh>
    <rPh sb="7" eb="9">
      <t>コンダテ</t>
    </rPh>
    <rPh sb="10" eb="12">
      <t>ヘンコウ</t>
    </rPh>
    <rPh sb="14" eb="16">
      <t>バアイ</t>
    </rPh>
    <phoneticPr fontId="3"/>
  </si>
  <si>
    <t>※14　この商品は「そば・卵」を含む製品と同じ施設で製造しておりますが、混入を最小限に抑えるように十分に配慮して生産されております。</t>
  </si>
  <si>
    <t>※15　本製品に使用している原料魚は、えび・かにが混ざる漁法で採取しています。</t>
  </si>
  <si>
    <t>※18　本製品で使用している海苔は、えび・かにの生息域で採取しています。</t>
  </si>
  <si>
    <t>※35　本製品で使用しているえびは、「かに」が混ざる漁法で捕獲しています。</t>
  </si>
  <si>
    <t>※60　本工場では小麦・乳を使用しております。</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</si>
</sst>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 ?/2"/>
    <numFmt numFmtId="177" formatCode="#\ ?/4"/>
    <numFmt numFmtId="178" formatCode="#\ ?/8"/>
    <numFmt numFmtId="179" formatCode="#\ ?/6"/>
    <numFmt numFmtId="180" formatCode="#\ ?/10"/>
    <numFmt numFmtId="181" formatCode="0.0_ "/>
    <numFmt numFmtId="182" formatCode="0_ "/>
  </numFmts>
  <fonts count="33">
    <font>
      <sz val="11"/>
      <color theme="1"/>
      <name val="ＭＳ Ｐゴシック"/>
      <family val="3"/>
      <charset val="128"/>
      <scheme val="minor"/>
    </font>
    <font>
      <sz val="11"/>
      <name val="ＭＳ Ｐゴシック"/>
      <family val="3"/>
      <charset val="128"/>
    </font>
    <font>
      <b/>
      <sz val="28"/>
      <name val="ＭＳ Ｐゴシック"/>
      <family val="3"/>
      <charset val="128"/>
    </font>
    <font>
      <sz val="6"/>
      <name val="ＭＳ Ｐゴシック"/>
      <family val="3"/>
      <charset val="128"/>
    </font>
    <font>
      <b/>
      <sz val="12"/>
      <name val="ＭＳ Ｐゴシック"/>
      <family val="3"/>
      <charset val="128"/>
    </font>
    <font>
      <sz val="14"/>
      <name val="ＭＳ Ｐゴシック"/>
      <family val="3"/>
      <charset val="128"/>
    </font>
    <font>
      <b/>
      <sz val="11"/>
      <name val="ＭＳ Ｐゴシック"/>
      <family val="3"/>
      <charset val="128"/>
    </font>
    <font>
      <sz val="10.5"/>
      <name val="ＭＳ Ｐゴシック"/>
      <family val="3"/>
      <charset val="128"/>
    </font>
    <font>
      <sz val="9"/>
      <name val="ＭＳ Ｐゴシック"/>
      <family val="3"/>
      <charset val="128"/>
    </font>
    <font>
      <b/>
      <sz val="24"/>
      <name val="ＭＳ Ｐゴシック"/>
      <family val="3"/>
      <charset val="128"/>
    </font>
    <font>
      <b/>
      <sz val="22"/>
      <name val="ＭＳ Ｐゴシック"/>
      <family val="3"/>
      <charset val="128"/>
    </font>
    <font>
      <b/>
      <sz val="14"/>
      <name val="ＭＳ Ｐゴシック"/>
      <family val="3"/>
      <charset val="128"/>
    </font>
    <font>
      <b/>
      <sz val="9"/>
      <name val="ＭＳ Ｐゴシック"/>
      <family val="3"/>
      <charset val="128"/>
    </font>
    <font>
      <b/>
      <sz val="8"/>
      <name val="ＭＳ Ｐゴシック"/>
      <family val="3"/>
      <charset val="128"/>
    </font>
    <font>
      <sz val="11.5"/>
      <name val="ＭＳ Ｐゴシック"/>
      <family val="3"/>
      <charset val="128"/>
    </font>
    <font>
      <sz val="12"/>
      <name val="ＭＳ Ｐゴシック"/>
      <family val="3"/>
      <charset val="128"/>
    </font>
    <font>
      <sz val="16"/>
      <name val="ＭＳ Ｐゴシック"/>
      <family val="3"/>
      <charset val="128"/>
    </font>
    <font>
      <sz val="6"/>
      <name val="ＭＳ Ｐゴシック"/>
      <family val="3"/>
      <charset val="128"/>
    </font>
    <font>
      <b/>
      <sz val="20"/>
      <name val="ＭＳ Ｐゴシック"/>
      <family val="3"/>
      <charset val="128"/>
    </font>
    <font>
      <sz val="6"/>
      <name val="ＭＳ Ｐゴシック"/>
      <family val="3"/>
      <charset val="128"/>
    </font>
    <font>
      <sz val="11"/>
      <name val="ＭＳ Ｐ明朝"/>
      <family val="1"/>
      <charset val="128"/>
    </font>
    <font>
      <sz val="6"/>
      <name val="ＭＳ Ｐゴシック"/>
      <family val="3"/>
      <charset val="128"/>
      <scheme val="minor"/>
    </font>
    <font>
      <b/>
      <sz val="11"/>
      <name val="ＭＳ Ｐ明朝"/>
      <family val="1"/>
      <charset val="128"/>
    </font>
    <font>
      <b/>
      <sz val="18"/>
      <name val="ＭＳ Ｐ明朝"/>
      <family val="1"/>
      <charset val="128"/>
    </font>
    <font>
      <b/>
      <sz val="36"/>
      <name val="ＭＳ Ｐ明朝"/>
      <family val="1"/>
      <charset val="128"/>
    </font>
    <font>
      <sz val="8"/>
      <name val="ＭＳ Ｐ明朝"/>
      <family val="1"/>
      <charset val="128"/>
    </font>
    <font>
      <sz val="6"/>
      <name val="ＭＳ Ｐ明朝"/>
      <family val="1"/>
      <charset val="128"/>
    </font>
    <font>
      <sz val="5"/>
      <name val="ＭＳ Ｐ明朝"/>
      <family val="1"/>
      <charset val="128"/>
    </font>
    <font>
      <sz val="10"/>
      <name val="ＭＳ Ｐ明朝"/>
      <family val="1"/>
      <charset val="128"/>
    </font>
    <font>
      <sz val="9"/>
      <name val="ＭＳ Ｐ明朝"/>
      <family val="1"/>
      <charset val="128"/>
    </font>
    <font>
      <sz val="6"/>
      <name val="ＭＳ Ｐゴシック"/>
      <family val="2"/>
      <charset val="128"/>
      <scheme val="minor"/>
    </font>
    <font>
      <sz val="10"/>
      <color rgb="FFFF0000"/>
      <name val="ＭＳ Ｐ明朝"/>
      <family val="1"/>
      <charset val="128"/>
    </font>
    <font>
      <sz val="11"/>
      <color rgb="FFFF0000"/>
      <name val="ＭＳ Ｐ明朝"/>
      <family val="1"/>
      <charset val="128"/>
    </font>
  </fonts>
  <fills count="13">
    <fill>
      <patternFill patternType="none"/>
    </fill>
    <fill>
      <patternFill patternType="gray125"/>
    </fill>
    <fill>
      <patternFill patternType="solid">
        <fgColor rgb="FFFFCCFF"/>
        <bgColor indexed="64"/>
      </patternFill>
    </fill>
    <fill>
      <patternFill patternType="solid">
        <fgColor indexed="43"/>
        <bgColor indexed="64"/>
      </patternFill>
    </fill>
    <fill>
      <patternFill patternType="solid">
        <fgColor indexed="29"/>
        <bgColor indexed="64"/>
      </patternFill>
    </fill>
    <fill>
      <patternFill patternType="solid">
        <fgColor indexed="42"/>
        <bgColor indexed="64"/>
      </patternFill>
    </fill>
    <fill>
      <patternFill patternType="solid">
        <fgColor rgb="FFFFD9FF"/>
        <bgColor indexed="64"/>
      </patternFill>
    </fill>
    <fill>
      <patternFill patternType="solid">
        <fgColor rgb="FFCDF2FF"/>
        <bgColor indexed="64"/>
      </patternFill>
    </fill>
    <fill>
      <patternFill patternType="solid">
        <fgColor rgb="FFD1FFD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EAD5"/>
        <bgColor indexed="64"/>
      </patternFill>
    </fill>
    <fill>
      <patternFill patternType="solid">
        <fgColor rgb="FFFFFFCC"/>
        <bgColor indexed="64"/>
      </patternFill>
    </fill>
  </fills>
  <borders count="39">
    <border>
      <left/>
      <right/>
      <top/>
      <bottom/>
      <diagonal/>
    </border>
    <border>
      <left/>
      <right style="thin">
        <color indexed="64"/>
      </right>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s>
  <cellStyleXfs count="5">
    <xf numFmtId="0" fontId="0"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cellStyleXfs>
  <cellXfs count="249">
    <xf numFmtId="0" fontId="0" fillId="0" borderId="0" xfId="0">
      <alignment vertical="center"/>
    </xf>
    <xf numFmtId="0" fontId="2" fillId="0" borderId="0" xfId="1" applyFont="1" applyAlignment="1">
      <alignment vertical="center"/>
    </xf>
    <xf numFmtId="0" fontId="2" fillId="0" borderId="0" xfId="1" applyFont="1" applyAlignment="1">
      <alignment horizontal="center" vertical="center"/>
    </xf>
    <xf numFmtId="0" fontId="1" fillId="0" borderId="0" xfId="1" applyFont="1">
      <alignment vertical="center"/>
    </xf>
    <xf numFmtId="0" fontId="1" fillId="0" borderId="0" xfId="1" applyNumberFormat="1" applyFont="1">
      <alignment vertical="center"/>
    </xf>
    <xf numFmtId="0" fontId="2" fillId="0" borderId="0" xfId="1" applyFont="1" applyAlignment="1">
      <alignment vertical="center" shrinkToFit="1"/>
    </xf>
    <xf numFmtId="0" fontId="2" fillId="0" borderId="0" xfId="1" applyNumberFormat="1" applyFont="1" applyAlignment="1">
      <alignment horizontal="center" vertical="center" shrinkToFit="1"/>
    </xf>
    <xf numFmtId="0" fontId="2" fillId="0" borderId="0" xfId="1" applyFont="1" applyAlignment="1">
      <alignment horizontal="center" vertical="center" shrinkToFit="1"/>
    </xf>
    <xf numFmtId="0" fontId="5" fillId="0" borderId="0" xfId="1" applyFont="1" applyBorder="1" applyAlignment="1">
      <alignment horizontal="center" vertical="center" shrinkToFit="1"/>
    </xf>
    <xf numFmtId="0" fontId="7" fillId="0" borderId="0" xfId="3" applyNumberFormat="1" applyFont="1" applyFill="1" applyAlignment="1">
      <alignment shrinkToFit="1"/>
    </xf>
    <xf numFmtId="0" fontId="9" fillId="0" borderId="0" xfId="1" applyFont="1" applyBorder="1" applyAlignment="1">
      <alignment horizontal="center" vertical="center" shrinkToFit="1"/>
    </xf>
    <xf numFmtId="0" fontId="1" fillId="0" borderId="0" xfId="1" applyAlignment="1">
      <alignment horizontal="center" shrinkToFit="1"/>
    </xf>
    <xf numFmtId="0" fontId="8" fillId="0" borderId="0" xfId="1" applyNumberFormat="1" applyFont="1" applyBorder="1" applyAlignment="1">
      <alignment horizontal="center" shrinkToFit="1"/>
    </xf>
    <xf numFmtId="0" fontId="6" fillId="0" borderId="0" xfId="1" applyFont="1" applyBorder="1" applyAlignment="1">
      <alignment horizontal="center" vertical="center"/>
    </xf>
    <xf numFmtId="0" fontId="6" fillId="0" borderId="0" xfId="1" applyNumberFormat="1" applyFont="1" applyBorder="1" applyAlignment="1">
      <alignment horizontal="center" vertical="center"/>
    </xf>
    <xf numFmtId="0" fontId="11" fillId="0" borderId="2" xfId="1" applyFont="1" applyBorder="1" applyAlignment="1">
      <alignment horizontal="left" vertical="center"/>
    </xf>
    <xf numFmtId="0" fontId="11" fillId="0" borderId="3" xfId="1" applyFont="1" applyBorder="1" applyAlignment="1">
      <alignment horizontal="center" vertical="center" shrinkToFit="1"/>
    </xf>
    <xf numFmtId="0" fontId="11" fillId="0" borderId="4" xfId="1" applyFont="1" applyBorder="1" applyAlignment="1">
      <alignment horizontal="center" vertical="center" shrinkToFit="1"/>
    </xf>
    <xf numFmtId="0" fontId="12" fillId="0" borderId="5" xfId="1" applyNumberFormat="1" applyFont="1" applyBorder="1" applyAlignment="1">
      <alignment horizontal="center" vertical="center" wrapText="1"/>
    </xf>
    <xf numFmtId="0" fontId="11" fillId="0" borderId="5" xfId="1" applyFont="1" applyBorder="1" applyAlignment="1">
      <alignment horizontal="center" vertical="center" shrinkToFit="1"/>
    </xf>
    <xf numFmtId="0" fontId="11" fillId="0" borderId="5" xfId="1" applyNumberFormat="1" applyFont="1" applyBorder="1" applyAlignment="1">
      <alignment horizontal="center" vertical="center" shrinkToFit="1"/>
    </xf>
    <xf numFmtId="0" fontId="11" fillId="0" borderId="6" xfId="1" applyFont="1" applyBorder="1" applyAlignment="1">
      <alignment horizontal="center" vertical="center" shrinkToFit="1"/>
    </xf>
    <xf numFmtId="0" fontId="11" fillId="0" borderId="7" xfId="1" applyFont="1" applyBorder="1" applyAlignment="1">
      <alignment horizontal="center" vertical="center"/>
    </xf>
    <xf numFmtId="0" fontId="13" fillId="0" borderId="5" xfId="1" applyNumberFormat="1" applyFont="1" applyBorder="1" applyAlignment="1">
      <alignment horizontal="center" vertical="center" wrapText="1" shrinkToFit="1"/>
    </xf>
    <xf numFmtId="0" fontId="11" fillId="0" borderId="6" xfId="1" applyNumberFormat="1" applyFont="1" applyBorder="1" applyAlignment="1">
      <alignment horizontal="center" vertical="center" shrinkToFit="1"/>
    </xf>
    <xf numFmtId="0" fontId="1" fillId="0" borderId="0" xfId="1" applyNumberFormat="1" applyFont="1" applyFill="1" applyBorder="1" applyAlignment="1">
      <alignment horizontal="center" vertical="center"/>
    </xf>
    <xf numFmtId="0" fontId="7" fillId="0" borderId="0" xfId="1" applyFont="1" applyAlignment="1">
      <alignment vertical="center" shrinkToFit="1"/>
    </xf>
    <xf numFmtId="0" fontId="15" fillId="0" borderId="0" xfId="1" applyFont="1" applyAlignment="1">
      <alignment vertical="top" shrinkToFit="1"/>
    </xf>
    <xf numFmtId="0" fontId="14" fillId="0" borderId="0" xfId="1" applyFont="1" applyAlignment="1">
      <alignment horizontal="left" vertical="center"/>
    </xf>
    <xf numFmtId="0" fontId="5" fillId="0" borderId="0" xfId="1" applyNumberFormat="1" applyFont="1" applyAlignment="1">
      <alignment horizontal="center" vertical="top" shrinkToFit="1"/>
    </xf>
    <xf numFmtId="0" fontId="14" fillId="0" borderId="0" xfId="1" applyFont="1" applyAlignment="1">
      <alignment horizontal="center" vertical="top" shrinkToFit="1"/>
    </xf>
    <xf numFmtId="0" fontId="14" fillId="0" borderId="0" xfId="1" applyFont="1" applyAlignment="1">
      <alignment vertical="top" shrinkToFit="1"/>
    </xf>
    <xf numFmtId="0" fontId="16" fillId="0" borderId="0" xfId="1" applyFont="1" applyAlignment="1">
      <alignment horizontal="center" vertical="top" shrinkToFit="1"/>
    </xf>
    <xf numFmtId="0" fontId="16" fillId="0" borderId="0" xfId="1" applyNumberFormat="1" applyFont="1" applyAlignment="1">
      <alignment horizontal="center" vertical="top" shrinkToFit="1"/>
    </xf>
    <xf numFmtId="0" fontId="11" fillId="0" borderId="5" xfId="1" applyNumberFormat="1" applyFont="1" applyFill="1" applyBorder="1" applyAlignment="1">
      <alignment horizontal="center" vertical="center" shrinkToFit="1"/>
    </xf>
    <xf numFmtId="0" fontId="11" fillId="0" borderId="5" xfId="1" applyFont="1" applyFill="1" applyBorder="1" applyAlignment="1">
      <alignment horizontal="center" vertical="center" shrinkToFit="1"/>
    </xf>
    <xf numFmtId="0" fontId="15" fillId="0" borderId="8" xfId="1" applyFont="1" applyBorder="1" applyAlignment="1">
      <alignment vertical="top" shrinkToFit="1"/>
    </xf>
    <xf numFmtId="0" fontId="7" fillId="0" borderId="8" xfId="1" applyFont="1" applyBorder="1" applyAlignment="1">
      <alignment vertical="center" shrinkToFit="1"/>
    </xf>
    <xf numFmtId="0" fontId="5" fillId="0" borderId="8" xfId="1" applyNumberFormat="1" applyFont="1" applyBorder="1" applyAlignment="1">
      <alignment horizontal="center" vertical="top" shrinkToFit="1"/>
    </xf>
    <xf numFmtId="0" fontId="14" fillId="0" borderId="8" xfId="1" applyFont="1" applyBorder="1" applyAlignment="1">
      <alignment horizontal="center" vertical="top" shrinkToFit="1"/>
    </xf>
    <xf numFmtId="0" fontId="14" fillId="0" borderId="8" xfId="1" applyFont="1" applyBorder="1" applyAlignment="1">
      <alignment vertical="top" shrinkToFit="1"/>
    </xf>
    <xf numFmtId="0" fontId="16" fillId="0" borderId="8" xfId="1" applyNumberFormat="1" applyFont="1" applyBorder="1" applyAlignment="1">
      <alignment horizontal="center" vertical="top" shrinkToFit="1"/>
    </xf>
    <xf numFmtId="0" fontId="15" fillId="0" borderId="9" xfId="1" applyFont="1" applyBorder="1" applyAlignment="1">
      <alignment vertical="top" shrinkToFit="1"/>
    </xf>
    <xf numFmtId="0" fontId="7" fillId="0" borderId="9" xfId="1" applyFont="1" applyBorder="1" applyAlignment="1">
      <alignment vertical="center" shrinkToFit="1"/>
    </xf>
    <xf numFmtId="0" fontId="5" fillId="0" borderId="9" xfId="1" applyNumberFormat="1" applyFont="1" applyBorder="1" applyAlignment="1">
      <alignment horizontal="center" vertical="top" shrinkToFit="1"/>
    </xf>
    <xf numFmtId="0" fontId="14" fillId="0" borderId="9" xfId="1" applyFont="1" applyBorder="1" applyAlignment="1">
      <alignment horizontal="center" vertical="top" shrinkToFit="1"/>
    </xf>
    <xf numFmtId="0" fontId="14" fillId="0" borderId="9" xfId="1" applyFont="1" applyBorder="1" applyAlignment="1">
      <alignment vertical="top" shrinkToFit="1"/>
    </xf>
    <xf numFmtId="0" fontId="16" fillId="0" borderId="9" xfId="1" applyNumberFormat="1" applyFont="1" applyBorder="1" applyAlignment="1">
      <alignment horizontal="center" vertical="top" shrinkToFit="1"/>
    </xf>
    <xf numFmtId="176" fontId="5" fillId="0" borderId="9" xfId="1" applyNumberFormat="1" applyFont="1" applyBorder="1" applyAlignment="1">
      <alignment horizontal="center" vertical="top" shrinkToFit="1"/>
    </xf>
    <xf numFmtId="0" fontId="15" fillId="0" borderId="10" xfId="1" applyFont="1" applyBorder="1" applyAlignment="1">
      <alignment vertical="top" shrinkToFit="1"/>
    </xf>
    <xf numFmtId="0" fontId="7" fillId="0" borderId="10" xfId="1" applyFont="1" applyBorder="1" applyAlignment="1">
      <alignment vertical="center" shrinkToFit="1"/>
    </xf>
    <xf numFmtId="0" fontId="5" fillId="0" borderId="10" xfId="1" applyNumberFormat="1" applyFont="1" applyBorder="1" applyAlignment="1">
      <alignment horizontal="center" vertical="top" shrinkToFit="1"/>
    </xf>
    <xf numFmtId="0" fontId="14" fillId="0" borderId="10" xfId="1" applyFont="1" applyBorder="1" applyAlignment="1">
      <alignment horizontal="center" vertical="top" shrinkToFit="1"/>
    </xf>
    <xf numFmtId="0" fontId="14" fillId="0" borderId="10" xfId="1" applyFont="1" applyBorder="1" applyAlignment="1">
      <alignment vertical="top" shrinkToFit="1"/>
    </xf>
    <xf numFmtId="0" fontId="16" fillId="0" borderId="10" xfId="1" applyNumberFormat="1" applyFont="1" applyBorder="1" applyAlignment="1">
      <alignment horizontal="center" vertical="top" shrinkToFit="1"/>
    </xf>
    <xf numFmtId="179" fontId="5" fillId="0" borderId="9" xfId="1" applyNumberFormat="1" applyFont="1" applyBorder="1" applyAlignment="1">
      <alignment horizontal="center" vertical="top" shrinkToFit="1"/>
    </xf>
    <xf numFmtId="0" fontId="15" fillId="0" borderId="11" xfId="1" applyFont="1" applyBorder="1" applyAlignment="1">
      <alignment vertical="top" shrinkToFit="1"/>
    </xf>
    <xf numFmtId="0" fontId="7" fillId="0" borderId="11" xfId="1" applyFont="1" applyBorder="1" applyAlignment="1">
      <alignment vertical="center" shrinkToFit="1"/>
    </xf>
    <xf numFmtId="0" fontId="5" fillId="0" borderId="11" xfId="1" applyNumberFormat="1" applyFont="1" applyBorder="1" applyAlignment="1">
      <alignment horizontal="center" vertical="top" shrinkToFit="1"/>
    </xf>
    <xf numFmtId="0" fontId="14" fillId="0" borderId="11" xfId="1" applyFont="1" applyBorder="1" applyAlignment="1">
      <alignment horizontal="center" vertical="top" shrinkToFit="1"/>
    </xf>
    <xf numFmtId="0" fontId="14" fillId="0" borderId="11" xfId="1" applyFont="1" applyBorder="1" applyAlignment="1">
      <alignment vertical="top" shrinkToFit="1"/>
    </xf>
    <xf numFmtId="0" fontId="16" fillId="0" borderId="11" xfId="1" applyNumberFormat="1" applyFont="1" applyBorder="1" applyAlignment="1">
      <alignment horizontal="center" vertical="top" shrinkToFit="1"/>
    </xf>
    <xf numFmtId="178" fontId="5" fillId="0" borderId="9" xfId="1" applyNumberFormat="1" applyFont="1" applyBorder="1" applyAlignment="1">
      <alignment horizontal="center" vertical="top" shrinkToFit="1"/>
    </xf>
    <xf numFmtId="180" fontId="5" fillId="0" borderId="9" xfId="1" applyNumberFormat="1" applyFont="1" applyBorder="1" applyAlignment="1">
      <alignment horizontal="center" vertical="top" shrinkToFit="1"/>
    </xf>
    <xf numFmtId="0" fontId="15" fillId="0" borderId="16" xfId="1" applyFont="1" applyBorder="1" applyAlignment="1">
      <alignment vertical="top" shrinkToFit="1"/>
    </xf>
    <xf numFmtId="0" fontId="15" fillId="0" borderId="1" xfId="1" applyFont="1" applyBorder="1" applyAlignment="1">
      <alignment vertical="top" shrinkToFit="1"/>
    </xf>
    <xf numFmtId="0" fontId="15" fillId="0" borderId="17" xfId="1" applyFont="1" applyBorder="1" applyAlignment="1">
      <alignment vertical="top" shrinkToFit="1"/>
    </xf>
    <xf numFmtId="0" fontId="15" fillId="0" borderId="18" xfId="1" applyFont="1" applyBorder="1" applyAlignment="1">
      <alignment vertical="top" shrinkToFit="1"/>
    </xf>
    <xf numFmtId="0" fontId="14" fillId="0" borderId="19" xfId="1" applyFont="1" applyBorder="1" applyAlignment="1">
      <alignment horizontal="center" vertical="top" shrinkToFit="1"/>
    </xf>
    <xf numFmtId="0" fontId="14" fillId="0" borderId="20" xfId="1" applyFont="1" applyBorder="1" applyAlignment="1">
      <alignment horizontal="center" vertical="top" shrinkToFit="1"/>
    </xf>
    <xf numFmtId="0" fontId="14" fillId="0" borderId="21" xfId="1" applyFont="1" applyBorder="1" applyAlignment="1">
      <alignment horizontal="center" vertical="top" shrinkToFit="1"/>
    </xf>
    <xf numFmtId="0" fontId="14" fillId="0" borderId="22" xfId="1" applyFont="1" applyBorder="1" applyAlignment="1">
      <alignment horizontal="center" vertical="top" shrinkToFit="1"/>
    </xf>
    <xf numFmtId="0" fontId="14" fillId="0" borderId="23" xfId="1" applyFont="1" applyBorder="1" applyAlignment="1">
      <alignment vertical="top" shrinkToFit="1"/>
    </xf>
    <xf numFmtId="0" fontId="14" fillId="0" borderId="24" xfId="1" applyFont="1" applyBorder="1" applyAlignment="1">
      <alignment vertical="top" shrinkToFit="1"/>
    </xf>
    <xf numFmtId="0" fontId="14" fillId="0" borderId="25" xfId="1" applyFont="1" applyBorder="1" applyAlignment="1">
      <alignment vertical="top" shrinkToFit="1"/>
    </xf>
    <xf numFmtId="0" fontId="14" fillId="0" borderId="26" xfId="1" applyFont="1" applyBorder="1" applyAlignment="1">
      <alignment vertical="top" shrinkToFit="1"/>
    </xf>
    <xf numFmtId="0" fontId="16" fillId="0" borderId="12" xfId="1" applyFont="1" applyBorder="1" applyAlignment="1">
      <alignment horizontal="center" vertical="top" shrinkToFit="1"/>
    </xf>
    <xf numFmtId="0" fontId="16" fillId="0" borderId="13" xfId="1" applyFont="1" applyBorder="1" applyAlignment="1">
      <alignment horizontal="center" vertical="top" shrinkToFit="1"/>
    </xf>
    <xf numFmtId="0" fontId="16" fillId="0" borderId="14" xfId="1" applyFont="1" applyBorder="1" applyAlignment="1">
      <alignment horizontal="center" vertical="top" shrinkToFit="1"/>
    </xf>
    <xf numFmtId="0" fontId="16" fillId="0" borderId="15" xfId="1" applyFont="1" applyBorder="1" applyAlignment="1">
      <alignment horizontal="center" vertical="top" shrinkToFit="1"/>
    </xf>
    <xf numFmtId="176" fontId="5" fillId="0" borderId="8" xfId="1" applyNumberFormat="1" applyFont="1" applyBorder="1" applyAlignment="1">
      <alignment horizontal="center" vertical="top" shrinkToFit="1"/>
    </xf>
    <xf numFmtId="177" fontId="5" fillId="0" borderId="9" xfId="1" applyNumberFormat="1" applyFont="1" applyBorder="1" applyAlignment="1">
      <alignment horizontal="center" vertical="top" shrinkToFit="1"/>
    </xf>
    <xf numFmtId="177" fontId="5" fillId="0" borderId="8" xfId="1" applyNumberFormat="1" applyFont="1" applyBorder="1" applyAlignment="1">
      <alignment horizontal="center" vertical="top" shrinkToFit="1"/>
    </xf>
    <xf numFmtId="0" fontId="4" fillId="0" borderId="1" xfId="1" applyFont="1" applyBorder="1" applyAlignment="1">
      <alignment vertical="top" shrinkToFit="1"/>
    </xf>
    <xf numFmtId="0" fontId="5" fillId="0" borderId="12" xfId="1" applyNumberFormat="1" applyFont="1" applyBorder="1" applyAlignment="1">
      <alignment horizontal="center" vertical="top" shrinkToFit="1"/>
    </xf>
    <xf numFmtId="0" fontId="5" fillId="0" borderId="13" xfId="1" applyNumberFormat="1" applyFont="1" applyBorder="1" applyAlignment="1">
      <alignment horizontal="center" vertical="top" shrinkToFit="1"/>
    </xf>
    <xf numFmtId="0" fontId="5" fillId="0" borderId="14" xfId="1" applyNumberFormat="1" applyFont="1" applyBorder="1" applyAlignment="1">
      <alignment horizontal="center" vertical="top" shrinkToFit="1"/>
    </xf>
    <xf numFmtId="0" fontId="5" fillId="0" borderId="15" xfId="1" applyNumberFormat="1" applyFont="1" applyBorder="1" applyAlignment="1">
      <alignment horizontal="center" vertical="top" shrinkToFit="1"/>
    </xf>
    <xf numFmtId="0" fontId="20" fillId="0" borderId="0" xfId="1" applyFont="1" applyFill="1" applyAlignment="1">
      <alignment horizontal="center" vertical="center"/>
    </xf>
    <xf numFmtId="0" fontId="20" fillId="0" borderId="0" xfId="1" applyFont="1" applyFill="1">
      <alignment vertical="center"/>
    </xf>
    <xf numFmtId="181" fontId="20" fillId="0" borderId="0" xfId="1" applyNumberFormat="1" applyFont="1" applyFill="1">
      <alignment vertical="center"/>
    </xf>
    <xf numFmtId="0" fontId="20" fillId="0" borderId="0" xfId="1" applyFont="1" applyFill="1" applyAlignment="1">
      <alignment horizontal="left" vertical="center"/>
    </xf>
    <xf numFmtId="0" fontId="20" fillId="0" borderId="30" xfId="1" applyFont="1" applyFill="1" applyBorder="1" applyAlignment="1">
      <alignment horizontal="center" vertical="center"/>
    </xf>
    <xf numFmtId="0" fontId="20" fillId="0" borderId="30" xfId="1" applyFont="1" applyFill="1" applyBorder="1" applyAlignment="1">
      <alignment vertical="center"/>
    </xf>
    <xf numFmtId="0" fontId="25" fillId="0" borderId="1" xfId="1" applyFont="1" applyFill="1" applyBorder="1" applyAlignment="1">
      <alignment horizontal="center" vertical="center" wrapText="1"/>
    </xf>
    <xf numFmtId="0" fontId="20" fillId="0" borderId="34" xfId="1" applyFont="1" applyFill="1" applyBorder="1" applyAlignment="1">
      <alignment horizontal="right" vertical="center"/>
    </xf>
    <xf numFmtId="0" fontId="20" fillId="0" borderId="9" xfId="4" applyFont="1" applyBorder="1" applyAlignment="1">
      <alignment horizontal="center" wrapText="1" shrinkToFit="1"/>
    </xf>
    <xf numFmtId="0" fontId="20" fillId="0" borderId="9" xfId="1" applyFont="1" applyFill="1" applyBorder="1" applyAlignment="1">
      <alignment horizontal="right" vertical="center"/>
    </xf>
    <xf numFmtId="0" fontId="20" fillId="0" borderId="10" xfId="1" applyFont="1" applyFill="1" applyBorder="1" applyAlignment="1">
      <alignment horizontal="right" vertical="center"/>
    </xf>
    <xf numFmtId="0" fontId="20" fillId="0" borderId="10" xfId="4" applyFont="1" applyBorder="1" applyAlignment="1">
      <alignment horizontal="center" wrapText="1" shrinkToFit="1"/>
    </xf>
    <xf numFmtId="0" fontId="28" fillId="6" borderId="34" xfId="1" applyFont="1" applyFill="1" applyBorder="1" applyAlignment="1">
      <alignment horizontal="left" vertical="center"/>
    </xf>
    <xf numFmtId="0" fontId="29" fillId="0" borderId="30" xfId="1" applyFont="1" applyFill="1" applyBorder="1" applyAlignment="1">
      <alignment horizontal="left" vertical="top" wrapText="1"/>
    </xf>
    <xf numFmtId="182" fontId="28" fillId="0" borderId="34" xfId="1" applyNumberFormat="1" applyFont="1" applyFill="1" applyBorder="1">
      <alignment vertical="center"/>
    </xf>
    <xf numFmtId="0" fontId="28" fillId="0" borderId="34" xfId="1" applyFont="1" applyFill="1" applyBorder="1">
      <alignment vertical="center"/>
    </xf>
    <xf numFmtId="0" fontId="28" fillId="0" borderId="34" xfId="1" applyFont="1" applyFill="1" applyBorder="1" applyAlignment="1">
      <alignment horizontal="left" vertical="top" shrinkToFit="1"/>
    </xf>
    <xf numFmtId="0" fontId="28" fillId="0" borderId="9" xfId="4" applyFont="1" applyFill="1" applyBorder="1" applyAlignment="1">
      <alignment horizontal="left" vertical="top" wrapText="1"/>
    </xf>
    <xf numFmtId="182" fontId="28" fillId="0" borderId="34" xfId="1" applyNumberFormat="1" applyFont="1" applyFill="1" applyBorder="1" applyAlignment="1">
      <alignment horizontal="right" vertical="center"/>
    </xf>
    <xf numFmtId="0" fontId="28" fillId="0" borderId="34" xfId="1" applyFont="1" applyFill="1" applyBorder="1" applyAlignment="1">
      <alignment horizontal="left" vertical="center"/>
    </xf>
    <xf numFmtId="0" fontId="28" fillId="0" borderId="34" xfId="4" applyFont="1" applyFill="1" applyBorder="1" applyAlignment="1">
      <alignment horizontal="left" vertical="top" wrapText="1"/>
    </xf>
    <xf numFmtId="0" fontId="28" fillId="0" borderId="9" xfId="1" applyFont="1" applyFill="1" applyBorder="1">
      <alignment vertical="center"/>
    </xf>
    <xf numFmtId="181" fontId="28" fillId="0" borderId="9" xfId="1" applyNumberFormat="1" applyFont="1" applyFill="1" applyBorder="1">
      <alignment vertical="center"/>
    </xf>
    <xf numFmtId="0" fontId="28" fillId="0" borderId="9" xfId="1" applyFont="1" applyFill="1" applyBorder="1" applyAlignment="1">
      <alignment horizontal="left" vertical="top" shrinkToFit="1"/>
    </xf>
    <xf numFmtId="0" fontId="28" fillId="0" borderId="9" xfId="1" applyFont="1" applyFill="1" applyBorder="1" applyAlignment="1">
      <alignment vertical="center"/>
    </xf>
    <xf numFmtId="0" fontId="28" fillId="0" borderId="10" xfId="1" applyFont="1" applyFill="1" applyBorder="1">
      <alignment vertical="center"/>
    </xf>
    <xf numFmtId="181" fontId="28" fillId="0" borderId="10" xfId="1" applyNumberFormat="1" applyFont="1" applyFill="1" applyBorder="1">
      <alignment vertical="center"/>
    </xf>
    <xf numFmtId="0" fontId="28" fillId="0" borderId="10" xfId="1" applyFont="1" applyFill="1" applyBorder="1" applyAlignment="1">
      <alignment horizontal="left" vertical="top" shrinkToFit="1"/>
    </xf>
    <xf numFmtId="0" fontId="28" fillId="0" borderId="10" xfId="1" applyFont="1" applyFill="1" applyBorder="1" applyAlignment="1">
      <alignment vertical="center"/>
    </xf>
    <xf numFmtId="0" fontId="28" fillId="0" borderId="10" xfId="4" applyFont="1" applyFill="1" applyBorder="1" applyAlignment="1">
      <alignment horizontal="left" vertical="top" wrapText="1"/>
    </xf>
    <xf numFmtId="0" fontId="28" fillId="6" borderId="9" xfId="1" applyFont="1" applyFill="1" applyBorder="1">
      <alignment vertical="center"/>
    </xf>
    <xf numFmtId="0" fontId="28" fillId="7" borderId="9" xfId="1" applyFont="1" applyFill="1" applyBorder="1">
      <alignment vertical="center"/>
    </xf>
    <xf numFmtId="0" fontId="28" fillId="8" borderId="34" xfId="1" applyFont="1" applyFill="1" applyBorder="1">
      <alignment vertical="center"/>
    </xf>
    <xf numFmtId="0" fontId="29" fillId="0" borderId="34" xfId="1" applyFont="1" applyFill="1" applyBorder="1" applyAlignment="1">
      <alignment horizontal="left" vertical="top" wrapText="1"/>
    </xf>
    <xf numFmtId="0" fontId="28" fillId="10" borderId="35" xfId="1" applyFont="1" applyFill="1" applyBorder="1" applyAlignment="1">
      <alignment vertical="center"/>
    </xf>
    <xf numFmtId="0" fontId="28" fillId="10" borderId="37" xfId="1" applyFont="1" applyFill="1" applyBorder="1" applyAlignment="1">
      <alignment horizontal="center" vertical="center" textRotation="255" shrinkToFit="1"/>
    </xf>
    <xf numFmtId="0" fontId="28" fillId="10" borderId="37" xfId="1" applyFont="1" applyFill="1" applyBorder="1">
      <alignment vertical="center"/>
    </xf>
    <xf numFmtId="0" fontId="29" fillId="10" borderId="37" xfId="1" applyFont="1" applyFill="1" applyBorder="1" applyAlignment="1">
      <alignment horizontal="left" vertical="top" wrapText="1"/>
    </xf>
    <xf numFmtId="181" fontId="28" fillId="10" borderId="37" xfId="1" applyNumberFormat="1" applyFont="1" applyFill="1" applyBorder="1">
      <alignment vertical="center"/>
    </xf>
    <xf numFmtId="0" fontId="28" fillId="10" borderId="37" xfId="4" applyFont="1" applyFill="1" applyBorder="1" applyAlignment="1">
      <alignment horizontal="left" vertical="top" wrapText="1"/>
    </xf>
    <xf numFmtId="0" fontId="28" fillId="10" borderId="36" xfId="4" applyFont="1" applyFill="1" applyBorder="1" applyAlignment="1">
      <alignment horizontal="left" vertical="top" wrapText="1"/>
    </xf>
    <xf numFmtId="0" fontId="28" fillId="0" borderId="0" xfId="4" applyFont="1" applyFill="1" applyBorder="1" applyAlignment="1">
      <alignment horizontal="left" vertical="top" wrapText="1"/>
    </xf>
    <xf numFmtId="0" fontId="28" fillId="10" borderId="21" xfId="1" applyFont="1" applyFill="1" applyBorder="1" applyAlignment="1">
      <alignment vertical="center"/>
    </xf>
    <xf numFmtId="0" fontId="28" fillId="10" borderId="38" xfId="1" applyFont="1" applyFill="1" applyBorder="1" applyAlignment="1">
      <alignment horizontal="center" vertical="center" textRotation="255" shrinkToFit="1"/>
    </xf>
    <xf numFmtId="0" fontId="28" fillId="10" borderId="38" xfId="1" applyFont="1" applyFill="1" applyBorder="1">
      <alignment vertical="center"/>
    </xf>
    <xf numFmtId="0" fontId="29" fillId="10" borderId="38" xfId="1" applyFont="1" applyFill="1" applyBorder="1" applyAlignment="1">
      <alignment horizontal="left" vertical="top" wrapText="1"/>
    </xf>
    <xf numFmtId="181" fontId="28" fillId="10" borderId="38" xfId="1" applyNumberFormat="1" applyFont="1" applyFill="1" applyBorder="1">
      <alignment vertical="center"/>
    </xf>
    <xf numFmtId="0" fontId="28" fillId="10" borderId="38" xfId="4" applyFont="1" applyFill="1" applyBorder="1" applyAlignment="1">
      <alignment horizontal="left" vertical="top" wrapText="1"/>
    </xf>
    <xf numFmtId="0" fontId="28" fillId="10" borderId="17" xfId="4" applyFont="1" applyFill="1" applyBorder="1" applyAlignment="1">
      <alignment horizontal="left" vertical="top" wrapText="1"/>
    </xf>
    <xf numFmtId="0" fontId="29" fillId="0" borderId="10" xfId="1" applyFont="1" applyFill="1" applyBorder="1" applyAlignment="1">
      <alignment horizontal="left" vertical="top" wrapText="1"/>
    </xf>
    <xf numFmtId="182" fontId="28" fillId="0" borderId="9" xfId="1" applyNumberFormat="1" applyFont="1" applyFill="1" applyBorder="1">
      <alignment vertical="center"/>
    </xf>
    <xf numFmtId="0" fontId="28" fillId="0" borderId="9" xfId="1" applyFont="1" applyFill="1" applyBorder="1" applyAlignment="1">
      <alignment horizontal="left" vertical="center"/>
    </xf>
    <xf numFmtId="0" fontId="28" fillId="11" borderId="9" xfId="1" applyFont="1" applyFill="1" applyBorder="1">
      <alignment vertical="center"/>
    </xf>
    <xf numFmtId="0" fontId="28" fillId="0" borderId="34" xfId="1" applyFont="1" applyFill="1" applyBorder="1" applyAlignment="1">
      <alignment vertical="center" shrinkToFit="1"/>
    </xf>
    <xf numFmtId="0" fontId="29" fillId="0" borderId="9" xfId="1" applyFont="1" applyFill="1" applyBorder="1">
      <alignment vertical="center"/>
    </xf>
    <xf numFmtId="0" fontId="28" fillId="12" borderId="9" xfId="1" applyFont="1" applyFill="1" applyBorder="1">
      <alignment vertical="center"/>
    </xf>
    <xf numFmtId="0" fontId="28" fillId="10" borderId="0" xfId="4" applyFont="1" applyFill="1" applyBorder="1" applyAlignment="1">
      <alignment horizontal="left" vertical="top" wrapText="1"/>
    </xf>
    <xf numFmtId="0" fontId="28" fillId="0" borderId="10" xfId="1" applyFont="1" applyFill="1" applyBorder="1" applyAlignment="1">
      <alignment horizontal="center" vertical="center" shrinkToFit="1"/>
    </xf>
    <xf numFmtId="0" fontId="28" fillId="0" borderId="30" xfId="1" applyFont="1" applyFill="1" applyBorder="1" applyAlignment="1">
      <alignment horizontal="center" vertical="center" shrinkToFit="1"/>
    </xf>
    <xf numFmtId="0" fontId="28" fillId="0" borderId="30" xfId="1" applyFont="1" applyFill="1" applyBorder="1" applyAlignment="1">
      <alignment horizontal="center" vertical="center"/>
    </xf>
    <xf numFmtId="0" fontId="28" fillId="0" borderId="0" xfId="4" applyFont="1" applyFill="1" applyBorder="1" applyAlignment="1">
      <alignment vertical="center"/>
    </xf>
    <xf numFmtId="0" fontId="31" fillId="0" borderId="0" xfId="1" applyFont="1" applyFill="1" applyBorder="1" applyAlignment="1">
      <alignment horizontal="left" vertical="center" wrapText="1"/>
    </xf>
    <xf numFmtId="0" fontId="28" fillId="0" borderId="0" xfId="1" applyFont="1" applyFill="1" applyBorder="1" applyAlignment="1">
      <alignment horizontal="left" vertical="center" wrapText="1"/>
    </xf>
    <xf numFmtId="0" fontId="28" fillId="0" borderId="31" xfId="1" applyFont="1" applyFill="1" applyBorder="1" applyAlignment="1">
      <alignment horizontal="center" vertical="center"/>
    </xf>
    <xf numFmtId="0" fontId="28" fillId="0" borderId="33" xfId="1" applyFont="1" applyFill="1" applyBorder="1">
      <alignment vertical="center"/>
    </xf>
    <xf numFmtId="182" fontId="28" fillId="0" borderId="30" xfId="1" applyNumberFormat="1" applyFont="1" applyFill="1" applyBorder="1" applyAlignment="1">
      <alignment horizontal="center" vertical="center"/>
    </xf>
    <xf numFmtId="181" fontId="28" fillId="0" borderId="30" xfId="1" applyNumberFormat="1" applyFont="1" applyFill="1" applyBorder="1" applyAlignment="1">
      <alignment horizontal="center" vertical="center"/>
    </xf>
    <xf numFmtId="0" fontId="28" fillId="0" borderId="0" xfId="1" applyFont="1" applyFill="1" applyBorder="1" applyAlignment="1">
      <alignment horizontal="left" vertical="center"/>
    </xf>
    <xf numFmtId="0" fontId="28" fillId="0" borderId="0" xfId="1" applyFont="1" applyFill="1" applyBorder="1" applyAlignment="1">
      <alignment horizontal="center" vertical="center"/>
    </xf>
    <xf numFmtId="0" fontId="28" fillId="0" borderId="0" xfId="1" applyFont="1" applyFill="1" applyBorder="1" applyAlignment="1">
      <alignment vertical="center"/>
    </xf>
    <xf numFmtId="0" fontId="28" fillId="0" borderId="0" xfId="1" applyFont="1" applyFill="1" applyBorder="1" applyAlignment="1">
      <alignment horizontal="left" vertical="top"/>
    </xf>
    <xf numFmtId="0" fontId="20" fillId="0" borderId="37" xfId="1" applyFont="1" applyFill="1" applyBorder="1" applyAlignment="1">
      <alignment horizontal="center" vertical="center"/>
    </xf>
    <xf numFmtId="0" fontId="20" fillId="0" borderId="37" xfId="1" applyFont="1" applyFill="1" applyBorder="1">
      <alignment vertical="center"/>
    </xf>
    <xf numFmtId="0" fontId="32" fillId="0" borderId="37" xfId="1" applyFont="1" applyFill="1" applyBorder="1" applyAlignment="1">
      <alignment horizontal="left" vertical="center"/>
    </xf>
    <xf numFmtId="182" fontId="20" fillId="0" borderId="37" xfId="1" applyNumberFormat="1" applyFont="1" applyFill="1" applyBorder="1" applyAlignment="1">
      <alignment horizontal="center" vertical="center"/>
    </xf>
    <xf numFmtId="181" fontId="20" fillId="0" borderId="37" xfId="1" applyNumberFormat="1" applyFont="1" applyFill="1" applyBorder="1" applyAlignment="1">
      <alignment horizontal="center" vertical="center"/>
    </xf>
    <xf numFmtId="181" fontId="20" fillId="0" borderId="0" xfId="1" applyNumberFormat="1" applyFont="1" applyFill="1" applyBorder="1">
      <alignment vertical="center"/>
    </xf>
    <xf numFmtId="0" fontId="20" fillId="0" borderId="0" xfId="1" applyFont="1" applyFill="1" applyBorder="1">
      <alignment vertical="center"/>
    </xf>
    <xf numFmtId="0" fontId="28" fillId="0" borderId="0" xfId="1" applyFont="1" applyFill="1" applyBorder="1" applyAlignment="1">
      <alignment vertical="center" wrapText="1"/>
    </xf>
    <xf numFmtId="0" fontId="20" fillId="0" borderId="0" xfId="1" applyFont="1" applyFill="1" applyBorder="1" applyAlignment="1">
      <alignment horizontal="left" vertical="center"/>
    </xf>
    <xf numFmtId="0" fontId="20" fillId="3" borderId="34" xfId="1" applyFont="1" applyFill="1" applyBorder="1" applyAlignment="1">
      <alignment horizontal="center" wrapText="1" shrinkToFit="1"/>
    </xf>
    <xf numFmtId="0" fontId="20" fillId="3" borderId="9" xfId="1" applyFont="1" applyFill="1" applyBorder="1" applyAlignment="1">
      <alignment horizontal="center" wrapText="1" shrinkToFit="1"/>
    </xf>
    <xf numFmtId="0" fontId="20" fillId="3" borderId="10" xfId="1" applyFont="1" applyFill="1" applyBorder="1" applyAlignment="1">
      <alignment horizontal="center" wrapText="1" shrinkToFit="1"/>
    </xf>
    <xf numFmtId="0" fontId="22" fillId="2" borderId="30" xfId="1" applyFont="1" applyFill="1" applyBorder="1" applyAlignment="1">
      <alignment horizontal="center" vertical="center" textRotation="255" shrinkToFit="1"/>
    </xf>
    <xf numFmtId="0" fontId="23" fillId="0" borderId="30" xfId="1" applyFont="1" applyFill="1" applyBorder="1" applyAlignment="1">
      <alignment horizontal="center" vertical="center" textRotation="255"/>
    </xf>
    <xf numFmtId="0" fontId="24" fillId="0" borderId="30" xfId="1" applyFont="1" applyFill="1" applyBorder="1" applyAlignment="1">
      <alignment horizontal="left" vertical="center"/>
    </xf>
    <xf numFmtId="0" fontId="20" fillId="0" borderId="30" xfId="1" applyFont="1" applyFill="1" applyBorder="1" applyAlignment="1">
      <alignment horizontal="center" vertical="center"/>
    </xf>
    <xf numFmtId="0" fontId="25" fillId="0" borderId="31" xfId="1" applyFont="1" applyFill="1" applyBorder="1" applyAlignment="1">
      <alignment horizontal="center" vertical="center" wrapText="1"/>
    </xf>
    <xf numFmtId="0" fontId="25" fillId="0" borderId="32" xfId="1" applyFont="1" applyFill="1" applyBorder="1" applyAlignment="1">
      <alignment horizontal="center" vertical="center" wrapText="1"/>
    </xf>
    <xf numFmtId="0" fontId="25" fillId="0" borderId="33" xfId="1" applyFont="1" applyFill="1" applyBorder="1" applyAlignment="1">
      <alignment horizontal="center" vertical="center" wrapText="1"/>
    </xf>
    <xf numFmtId="0" fontId="22" fillId="2" borderId="34" xfId="1" applyFont="1" applyFill="1" applyBorder="1" applyAlignment="1">
      <alignment horizontal="center" vertical="center" textRotation="255" shrinkToFit="1"/>
    </xf>
    <xf numFmtId="0" fontId="22" fillId="2" borderId="9" xfId="1" applyFont="1" applyFill="1" applyBorder="1" applyAlignment="1">
      <alignment horizontal="center" vertical="center" textRotation="255" shrinkToFit="1"/>
    </xf>
    <xf numFmtId="0" fontId="22" fillId="2" borderId="10" xfId="1" applyFont="1" applyFill="1" applyBorder="1" applyAlignment="1">
      <alignment horizontal="center" vertical="center" textRotation="255" shrinkToFit="1"/>
    </xf>
    <xf numFmtId="0" fontId="28" fillId="0" borderId="30" xfId="1" applyFont="1" applyFill="1" applyBorder="1" applyAlignment="1">
      <alignment horizontal="center" vertical="center" wrapText="1"/>
    </xf>
    <xf numFmtId="0" fontId="28" fillId="0" borderId="30" xfId="1" applyFont="1" applyFill="1" applyBorder="1" applyAlignment="1">
      <alignment vertical="center" wrapText="1"/>
    </xf>
    <xf numFmtId="0" fontId="28" fillId="0" borderId="30" xfId="1" applyFont="1" applyFill="1" applyBorder="1" applyAlignment="1">
      <alignment horizontal="center" vertical="center" textRotation="255" shrinkToFit="1"/>
    </xf>
    <xf numFmtId="0" fontId="29" fillId="0" borderId="30" xfId="1" applyFont="1" applyFill="1" applyBorder="1" applyAlignment="1">
      <alignment horizontal="left" vertical="top" wrapText="1"/>
    </xf>
    <xf numFmtId="0" fontId="20" fillId="4" borderId="34" xfId="1" applyFont="1" applyFill="1" applyBorder="1" applyAlignment="1">
      <alignment horizontal="center" wrapText="1" shrinkToFit="1"/>
    </xf>
    <xf numFmtId="0" fontId="20" fillId="4" borderId="9" xfId="1" applyFont="1" applyFill="1" applyBorder="1" applyAlignment="1">
      <alignment horizontal="center" wrapText="1" shrinkToFit="1"/>
    </xf>
    <xf numFmtId="0" fontId="20" fillId="4" borderId="10" xfId="1" applyFont="1" applyFill="1" applyBorder="1" applyAlignment="1">
      <alignment horizontal="center" wrapText="1" shrinkToFit="1"/>
    </xf>
    <xf numFmtId="0" fontId="20" fillId="5" borderId="34" xfId="1" applyFont="1" applyFill="1" applyBorder="1" applyAlignment="1">
      <alignment horizontal="center" wrapText="1" shrinkToFit="1"/>
    </xf>
    <xf numFmtId="0" fontId="20" fillId="5" borderId="9" xfId="1" applyFont="1" applyFill="1" applyBorder="1" applyAlignment="1">
      <alignment horizontal="center" wrapText="1" shrinkToFit="1"/>
    </xf>
    <xf numFmtId="0" fontId="20" fillId="5" borderId="10" xfId="1" applyFont="1" applyFill="1" applyBorder="1" applyAlignment="1">
      <alignment horizontal="center" wrapText="1" shrinkToFit="1"/>
    </xf>
    <xf numFmtId="0" fontId="26" fillId="0" borderId="35" xfId="1" applyFont="1" applyFill="1" applyBorder="1" applyAlignment="1">
      <alignment horizontal="center" vertical="center" wrapText="1"/>
    </xf>
    <xf numFmtId="0" fontId="26" fillId="0" borderId="36" xfId="1" applyFont="1" applyFill="1" applyBorder="1" applyAlignment="1">
      <alignment horizontal="center" vertical="center" wrapText="1"/>
    </xf>
    <xf numFmtId="0" fontId="26" fillId="0" borderId="20" xfId="1" applyFont="1" applyFill="1" applyBorder="1" applyAlignment="1">
      <alignment horizontal="center" vertical="center" wrapText="1"/>
    </xf>
    <xf numFmtId="0" fontId="26" fillId="0" borderId="1" xfId="1" applyFont="1" applyFill="1" applyBorder="1" applyAlignment="1">
      <alignment horizontal="center" vertical="center" wrapText="1"/>
    </xf>
    <xf numFmtId="0" fontId="26" fillId="0" borderId="21" xfId="1" applyFont="1" applyFill="1" applyBorder="1" applyAlignment="1">
      <alignment horizontal="center" vertical="center" wrapText="1"/>
    </xf>
    <xf numFmtId="0" fontId="26" fillId="0" borderId="17" xfId="1" applyFont="1" applyFill="1" applyBorder="1" applyAlignment="1">
      <alignment horizontal="center" vertical="center" wrapText="1"/>
    </xf>
    <xf numFmtId="0" fontId="20" fillId="0" borderId="34" xfId="1" applyFont="1" applyFill="1" applyBorder="1" applyAlignment="1">
      <alignment horizontal="center" vertical="center" shrinkToFit="1"/>
    </xf>
    <xf numFmtId="0" fontId="20" fillId="0" borderId="9" xfId="1" applyFont="1" applyFill="1" applyBorder="1" applyAlignment="1">
      <alignment horizontal="center" vertical="center" shrinkToFit="1"/>
    </xf>
    <xf numFmtId="0" fontId="20" fillId="0" borderId="10" xfId="1" applyFont="1" applyFill="1" applyBorder="1" applyAlignment="1">
      <alignment horizontal="center" vertical="center" shrinkToFit="1"/>
    </xf>
    <xf numFmtId="0" fontId="8" fillId="0" borderId="30" xfId="1" applyFont="1" applyFill="1" applyBorder="1" applyAlignment="1">
      <alignment horizontal="left" vertical="top" wrapText="1"/>
    </xf>
    <xf numFmtId="0" fontId="28" fillId="0" borderId="34" xfId="4" applyFont="1" applyFill="1" applyBorder="1" applyAlignment="1">
      <alignment horizontal="left" vertical="top" wrapText="1"/>
    </xf>
    <xf numFmtId="0" fontId="28" fillId="0" borderId="9" xfId="4" applyFont="1" applyFill="1" applyBorder="1" applyAlignment="1">
      <alignment horizontal="left" vertical="top" wrapText="1"/>
    </xf>
    <xf numFmtId="0" fontId="28" fillId="0" borderId="10" xfId="4" applyFont="1" applyFill="1" applyBorder="1" applyAlignment="1">
      <alignment horizontal="left" vertical="top" wrapText="1"/>
    </xf>
    <xf numFmtId="0" fontId="23" fillId="0" borderId="34" xfId="1" applyFont="1" applyFill="1" applyBorder="1" applyAlignment="1">
      <alignment horizontal="center" vertical="center" textRotation="255"/>
    </xf>
    <xf numFmtId="0" fontId="23" fillId="0" borderId="9" xfId="1" applyFont="1" applyFill="1" applyBorder="1" applyAlignment="1">
      <alignment horizontal="center" vertical="center" textRotation="255"/>
    </xf>
    <xf numFmtId="0" fontId="23" fillId="0" borderId="10" xfId="1" applyFont="1" applyFill="1" applyBorder="1" applyAlignment="1">
      <alignment horizontal="center" vertical="center" textRotation="255"/>
    </xf>
    <xf numFmtId="0" fontId="20" fillId="0" borderId="31" xfId="1" applyFont="1" applyFill="1" applyBorder="1" applyAlignment="1">
      <alignment horizontal="center" vertical="center"/>
    </xf>
    <xf numFmtId="0" fontId="20" fillId="0" borderId="32" xfId="1" applyFont="1" applyFill="1" applyBorder="1" applyAlignment="1">
      <alignment horizontal="center" vertical="center"/>
    </xf>
    <xf numFmtId="0" fontId="20" fillId="0" borderId="33" xfId="1" applyFont="1" applyFill="1" applyBorder="1" applyAlignment="1">
      <alignment horizontal="center" vertical="center"/>
    </xf>
    <xf numFmtId="0" fontId="20" fillId="3" borderId="30" xfId="1" applyFont="1" applyFill="1" applyBorder="1" applyAlignment="1">
      <alignment horizontal="center" wrapText="1" shrinkToFit="1"/>
    </xf>
    <xf numFmtId="0" fontId="20" fillId="4" borderId="30" xfId="1" applyFont="1" applyFill="1" applyBorder="1" applyAlignment="1">
      <alignment horizontal="center" wrapText="1" shrinkToFit="1"/>
    </xf>
    <xf numFmtId="0" fontId="20" fillId="5" borderId="30" xfId="1" applyFont="1" applyFill="1" applyBorder="1" applyAlignment="1">
      <alignment horizontal="center" wrapText="1" shrinkToFit="1"/>
    </xf>
    <xf numFmtId="0" fontId="1" fillId="0" borderId="30" xfId="1" applyBorder="1" applyAlignment="1">
      <alignment horizontal="center" wrapText="1" shrinkToFit="1"/>
    </xf>
    <xf numFmtId="0" fontId="20" fillId="0" borderId="9" xfId="4" applyFont="1" applyBorder="1" applyAlignment="1">
      <alignment horizontal="center" wrapText="1" shrinkToFit="1"/>
    </xf>
    <xf numFmtId="0" fontId="20" fillId="0" borderId="10" xfId="4" applyFont="1" applyBorder="1" applyAlignment="1">
      <alignment horizontal="center" wrapText="1" shrinkToFit="1"/>
    </xf>
    <xf numFmtId="0" fontId="28" fillId="0" borderId="34" xfId="1" applyFont="1" applyFill="1" applyBorder="1" applyAlignment="1">
      <alignment horizontal="center" vertical="center"/>
    </xf>
    <xf numFmtId="0" fontId="28" fillId="0" borderId="9" xfId="1" applyFont="1" applyFill="1" applyBorder="1" applyAlignment="1">
      <alignment horizontal="center" vertical="center"/>
    </xf>
    <xf numFmtId="0" fontId="28" fillId="0" borderId="10" xfId="1" applyFont="1" applyFill="1" applyBorder="1" applyAlignment="1">
      <alignment horizontal="center" vertical="center"/>
    </xf>
    <xf numFmtId="0" fontId="29" fillId="0" borderId="34" xfId="1" applyFont="1" applyFill="1" applyBorder="1" applyAlignment="1">
      <alignment horizontal="left" vertical="top" wrapText="1"/>
    </xf>
    <xf numFmtId="0" fontId="29" fillId="0" borderId="9" xfId="1" applyFont="1" applyFill="1" applyBorder="1" applyAlignment="1">
      <alignment horizontal="left" vertical="top" wrapText="1"/>
    </xf>
    <xf numFmtId="0" fontId="29" fillId="0" borderId="10" xfId="1" applyFont="1" applyFill="1" applyBorder="1" applyAlignment="1">
      <alignment horizontal="left" vertical="top" wrapText="1"/>
    </xf>
    <xf numFmtId="0" fontId="28" fillId="0" borderId="30" xfId="1" applyFont="1" applyFill="1" applyBorder="1" applyAlignment="1">
      <alignment vertical="center"/>
    </xf>
    <xf numFmtId="0" fontId="28" fillId="0" borderId="10" xfId="1" applyFont="1" applyFill="1" applyBorder="1" applyAlignment="1">
      <alignment horizontal="center" vertical="center" textRotation="255" shrinkToFit="1"/>
    </xf>
    <xf numFmtId="0" fontId="28" fillId="0" borderId="30" xfId="1" applyFont="1" applyFill="1" applyBorder="1" applyAlignment="1">
      <alignment horizontal="center" vertical="center"/>
    </xf>
    <xf numFmtId="0" fontId="28" fillId="0" borderId="34" xfId="1" applyFont="1" applyFill="1" applyBorder="1" applyAlignment="1">
      <alignment vertical="center"/>
    </xf>
    <xf numFmtId="0" fontId="28" fillId="0" borderId="34" xfId="1" applyFont="1" applyFill="1" applyBorder="1" applyAlignment="1">
      <alignment horizontal="center" vertical="center" textRotation="255" shrinkToFit="1"/>
    </xf>
    <xf numFmtId="0" fontId="28" fillId="9" borderId="34" xfId="1" applyFont="1" applyFill="1" applyBorder="1" applyAlignment="1">
      <alignment horizontal="center" vertical="center" wrapText="1"/>
    </xf>
    <xf numFmtId="0" fontId="28" fillId="9" borderId="9" xfId="1" applyFont="1" applyFill="1" applyBorder="1" applyAlignment="1">
      <alignment horizontal="center" vertical="center" wrapText="1"/>
    </xf>
    <xf numFmtId="0" fontId="28" fillId="9" borderId="30" xfId="1" applyFont="1" applyFill="1" applyBorder="1" applyAlignment="1">
      <alignment horizontal="center" vertical="center" textRotation="255" shrinkToFit="1"/>
    </xf>
    <xf numFmtId="0" fontId="28" fillId="9" borderId="34" xfId="1" applyFont="1" applyFill="1" applyBorder="1" applyAlignment="1">
      <alignment horizontal="center" vertical="center" textRotation="255" shrinkToFit="1"/>
    </xf>
    <xf numFmtId="0" fontId="28" fillId="9" borderId="30" xfId="1" applyFont="1" applyFill="1" applyBorder="1" applyAlignment="1">
      <alignment horizontal="center" vertical="center" wrapText="1"/>
    </xf>
    <xf numFmtId="0" fontId="28" fillId="9" borderId="30" xfId="1" applyFont="1" applyFill="1" applyBorder="1" applyAlignment="1">
      <alignment vertical="center"/>
    </xf>
    <xf numFmtId="0" fontId="28" fillId="9" borderId="10" xfId="1" applyFont="1" applyFill="1" applyBorder="1" applyAlignment="1">
      <alignment horizontal="center" vertical="center" wrapText="1"/>
    </xf>
    <xf numFmtId="0" fontId="28" fillId="0" borderId="21" xfId="1" applyFont="1" applyFill="1" applyBorder="1" applyAlignment="1">
      <alignment horizontal="center" vertical="center"/>
    </xf>
    <xf numFmtId="0" fontId="28" fillId="0" borderId="38" xfId="1" applyFont="1" applyFill="1" applyBorder="1" applyAlignment="1">
      <alignment horizontal="center" vertical="center"/>
    </xf>
    <xf numFmtId="0" fontId="28" fillId="0" borderId="17" xfId="1" applyFont="1" applyFill="1" applyBorder="1" applyAlignment="1">
      <alignment horizontal="center" vertical="center"/>
    </xf>
    <xf numFmtId="0" fontId="28" fillId="0" borderId="0" xfId="1" applyFont="1" applyFill="1" applyBorder="1" applyAlignment="1">
      <alignment horizontal="left" vertical="center" shrinkToFit="1"/>
    </xf>
    <xf numFmtId="181" fontId="28" fillId="0" borderId="30" xfId="1" applyNumberFormat="1" applyFont="1" applyFill="1" applyBorder="1" applyAlignment="1">
      <alignment horizontal="center" vertical="center"/>
    </xf>
    <xf numFmtId="0" fontId="2" fillId="0" borderId="0" xfId="1" applyFont="1" applyAlignment="1">
      <alignment horizontal="center" vertical="center"/>
    </xf>
    <xf numFmtId="0" fontId="0" fillId="0" borderId="0" xfId="0" applyAlignment="1">
      <alignment horizontal="center" vertical="center"/>
    </xf>
    <xf numFmtId="56" fontId="10" fillId="0" borderId="0" xfId="1" applyNumberFormat="1" applyFont="1" applyBorder="1" applyAlignment="1">
      <alignment horizontal="left" shrinkToFit="1"/>
    </xf>
    <xf numFmtId="0" fontId="10" fillId="0" borderId="0" xfId="1" applyFont="1" applyBorder="1" applyAlignment="1">
      <alignment horizontal="left" shrinkToFit="1"/>
    </xf>
    <xf numFmtId="0" fontId="14" fillId="0" borderId="27" xfId="1" applyFont="1" applyBorder="1" applyAlignment="1">
      <alignment horizontal="center" vertical="center" textRotation="255"/>
    </xf>
    <xf numFmtId="0" fontId="0" fillId="0" borderId="28" xfId="0" applyBorder="1" applyAlignment="1">
      <alignment horizontal="center" vertical="center" textRotation="255"/>
    </xf>
    <xf numFmtId="0" fontId="0" fillId="0" borderId="29" xfId="0" applyBorder="1" applyAlignment="1">
      <alignment horizontal="center" vertical="center" textRotation="255"/>
    </xf>
    <xf numFmtId="0" fontId="5" fillId="0" borderId="0" xfId="1" applyFont="1" applyAlignment="1">
      <alignment horizontal="center" vertical="center" shrinkToFit="1"/>
    </xf>
    <xf numFmtId="0" fontId="18" fillId="0" borderId="0" xfId="1" applyFont="1" applyAlignment="1">
      <alignment horizontal="center" vertical="center" shrinkToFit="1"/>
    </xf>
    <xf numFmtId="0" fontId="15" fillId="0" borderId="0" xfId="1" applyFont="1" applyAlignment="1">
      <alignment horizontal="center" vertical="center" shrinkToFit="1"/>
    </xf>
  </cellXfs>
  <cellStyles count="5">
    <cellStyle name="標準" xfId="0" builtinId="0"/>
    <cellStyle name="標準 2" xfId="1"/>
    <cellStyle name="標準 2 16" xfId="4"/>
    <cellStyle name="標準 3" xfId="2"/>
    <cellStyle name="標準 3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26" Type="http://schemas.openxmlformats.org/officeDocument/2006/relationships/image" Target="../media/image26.png"/><Relationship Id="rId3" Type="http://schemas.openxmlformats.org/officeDocument/2006/relationships/image" Target="../media/image3.png"/><Relationship Id="rId21" Type="http://schemas.openxmlformats.org/officeDocument/2006/relationships/image" Target="../media/image21.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5.png"/><Relationship Id="rId33" Type="http://schemas.openxmlformats.org/officeDocument/2006/relationships/image" Target="../media/image33.png"/><Relationship Id="rId2" Type="http://schemas.openxmlformats.org/officeDocument/2006/relationships/image" Target="../media/image2.png"/><Relationship Id="rId16" Type="http://schemas.openxmlformats.org/officeDocument/2006/relationships/image" Target="../media/image16.png"/><Relationship Id="rId20" Type="http://schemas.openxmlformats.org/officeDocument/2006/relationships/image" Target="../media/image20.png"/><Relationship Id="rId29" Type="http://schemas.openxmlformats.org/officeDocument/2006/relationships/image" Target="../media/image29.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24" Type="http://schemas.openxmlformats.org/officeDocument/2006/relationships/image" Target="../media/image24.png"/><Relationship Id="rId32" Type="http://schemas.openxmlformats.org/officeDocument/2006/relationships/image" Target="../media/image32.pn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png"/><Relationship Id="rId28" Type="http://schemas.openxmlformats.org/officeDocument/2006/relationships/image" Target="../media/image28.png"/><Relationship Id="rId10" Type="http://schemas.openxmlformats.org/officeDocument/2006/relationships/image" Target="../media/image10.png"/><Relationship Id="rId19" Type="http://schemas.openxmlformats.org/officeDocument/2006/relationships/image" Target="../media/image19.png"/><Relationship Id="rId31" Type="http://schemas.openxmlformats.org/officeDocument/2006/relationships/image" Target="../media/image31.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png"/><Relationship Id="rId27" Type="http://schemas.openxmlformats.org/officeDocument/2006/relationships/image" Target="../media/image27.png"/><Relationship Id="rId30" Type="http://schemas.openxmlformats.org/officeDocument/2006/relationships/image" Target="../media/image30.png"/></Relationships>
</file>

<file path=xl/drawings/_rels/drawing2.xml.rels><?xml version="1.0" encoding="UTF-8" standalone="yes"?>
<Relationships xmlns="http://schemas.openxmlformats.org/package/2006/relationships"><Relationship Id="rId1" Type="http://schemas.openxmlformats.org/officeDocument/2006/relationships/image" Target="../media/image34.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5.jpeg"/></Relationships>
</file>

<file path=xl/drawings/drawing1.xml><?xml version="1.0" encoding="utf-8"?>
<xdr:wsDr xmlns:xdr="http://schemas.openxmlformats.org/drawingml/2006/spreadsheetDrawing" xmlns:a="http://schemas.openxmlformats.org/drawingml/2006/main">
  <xdr:twoCellAnchor>
    <xdr:from>
      <xdr:col>7</xdr:col>
      <xdr:colOff>0</xdr:colOff>
      <xdr:row>65</xdr:row>
      <xdr:rowOff>0</xdr:rowOff>
    </xdr:from>
    <xdr:to>
      <xdr:col>10</xdr:col>
      <xdr:colOff>704850</xdr:colOff>
      <xdr:row>71</xdr:row>
      <xdr:rowOff>123825</xdr:rowOff>
    </xdr:to>
    <xdr:grpSp>
      <xdr:nvGrpSpPr>
        <xdr:cNvPr id="2" name="グループ化 17"/>
        <xdr:cNvGrpSpPr>
          <a:grpSpLocks/>
        </xdr:cNvGrpSpPr>
      </xdr:nvGrpSpPr>
      <xdr:grpSpPr bwMode="auto">
        <a:xfrm>
          <a:off x="7048500" y="11772900"/>
          <a:ext cx="1428750" cy="1152525"/>
          <a:chOff x="5094162" y="13729221"/>
          <a:chExt cx="1685722" cy="1137291"/>
        </a:xfrm>
      </xdr:grpSpPr>
      <xdr:sp macro="" textlink="">
        <xdr:nvSpPr>
          <xdr:cNvPr id="3" name="テキスト ボックス 2"/>
          <xdr:cNvSpPr txBox="1"/>
        </xdr:nvSpPr>
        <xdr:spPr bwMode="auto">
          <a:xfrm>
            <a:off x="5094162" y="13838005"/>
            <a:ext cx="1685722" cy="1028507"/>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kumimoji="1" lang="ja-JP" altLang="en-US" sz="600"/>
              <a:t>食べ物は良く噛んで食べましょう。良く噛むことで、虫歯予防や消化の負担が減り、お腹に良いと言われています。</a:t>
            </a:r>
            <a:endParaRPr kumimoji="1" lang="en-US" altLang="ja-JP" sz="600"/>
          </a:p>
        </xdr:txBody>
      </xdr:sp>
      <xdr:pic>
        <xdr:nvPicPr>
          <xdr:cNvPr id="4" name="図 1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13823" y="13729221"/>
            <a:ext cx="1624857" cy="100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図 2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22416" y="14453079"/>
            <a:ext cx="1601071" cy="99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15</xdr:col>
      <xdr:colOff>1317538</xdr:colOff>
      <xdr:row>54</xdr:row>
      <xdr:rowOff>55010</xdr:rowOff>
    </xdr:from>
    <xdr:to>
      <xdr:col>15</xdr:col>
      <xdr:colOff>1559131</xdr:colOff>
      <xdr:row>57</xdr:row>
      <xdr:rowOff>85737</xdr:rowOff>
    </xdr:to>
    <xdr:pic>
      <xdr:nvPicPr>
        <xdr:cNvPr id="6" name="図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804563" y="9494285"/>
          <a:ext cx="241593" cy="5165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136544</xdr:colOff>
      <xdr:row>64</xdr:row>
      <xdr:rowOff>152789</xdr:rowOff>
    </xdr:from>
    <xdr:to>
      <xdr:col>6</xdr:col>
      <xdr:colOff>519293</xdr:colOff>
      <xdr:row>67</xdr:row>
      <xdr:rowOff>76236</xdr:rowOff>
    </xdr:to>
    <xdr:pic>
      <xdr:nvPicPr>
        <xdr:cNvPr id="7" name="図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908694" y="11211314"/>
          <a:ext cx="382749" cy="409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1253884</xdr:colOff>
      <xdr:row>26</xdr:row>
      <xdr:rowOff>153642</xdr:rowOff>
    </xdr:from>
    <xdr:to>
      <xdr:col>15</xdr:col>
      <xdr:colOff>1980536</xdr:colOff>
      <xdr:row>30</xdr:row>
      <xdr:rowOff>84304</xdr:rowOff>
    </xdr:to>
    <xdr:pic>
      <xdr:nvPicPr>
        <xdr:cNvPr id="8" name="図 7"/>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1740909" y="5059017"/>
          <a:ext cx="726652" cy="5783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1461133</xdr:colOff>
      <xdr:row>1</xdr:row>
      <xdr:rowOff>21276</xdr:rowOff>
    </xdr:from>
    <xdr:to>
      <xdr:col>16</xdr:col>
      <xdr:colOff>633479</xdr:colOff>
      <xdr:row>3</xdr:row>
      <xdr:rowOff>44656</xdr:rowOff>
    </xdr:to>
    <xdr:pic>
      <xdr:nvPicPr>
        <xdr:cNvPr id="9" name="図 10"/>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1948158" y="478476"/>
          <a:ext cx="1201171" cy="785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163171</xdr:colOff>
      <xdr:row>1</xdr:row>
      <xdr:rowOff>29195</xdr:rowOff>
    </xdr:from>
    <xdr:to>
      <xdr:col>21</xdr:col>
      <xdr:colOff>599168</xdr:colOff>
      <xdr:row>1</xdr:row>
      <xdr:rowOff>361091</xdr:rowOff>
    </xdr:to>
    <xdr:pic>
      <xdr:nvPicPr>
        <xdr:cNvPr id="10" name="図 11"/>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6365196" y="486395"/>
          <a:ext cx="1140847" cy="3318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1003499</xdr:colOff>
      <xdr:row>1</xdr:row>
      <xdr:rowOff>63830</xdr:rowOff>
    </xdr:from>
    <xdr:to>
      <xdr:col>18</xdr:col>
      <xdr:colOff>1172258</xdr:colOff>
      <xdr:row>1</xdr:row>
      <xdr:rowOff>329788</xdr:rowOff>
    </xdr:to>
    <xdr:pic>
      <xdr:nvPicPr>
        <xdr:cNvPr id="11" name="図 12"/>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5976799" y="521030"/>
          <a:ext cx="168759" cy="2659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1051316</xdr:colOff>
      <xdr:row>1</xdr:row>
      <xdr:rowOff>10640</xdr:rowOff>
    </xdr:from>
    <xdr:to>
      <xdr:col>17</xdr:col>
      <xdr:colOff>913653</xdr:colOff>
      <xdr:row>2</xdr:row>
      <xdr:rowOff>126328</xdr:rowOff>
    </xdr:to>
    <xdr:pic>
      <xdr:nvPicPr>
        <xdr:cNvPr id="12" name="図 13"/>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3567166" y="467840"/>
          <a:ext cx="1091062" cy="7252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583264</xdr:colOff>
      <xdr:row>1</xdr:row>
      <xdr:rowOff>0</xdr:rowOff>
    </xdr:from>
    <xdr:to>
      <xdr:col>17</xdr:col>
      <xdr:colOff>220985</xdr:colOff>
      <xdr:row>1</xdr:row>
      <xdr:rowOff>333996</xdr:rowOff>
    </xdr:to>
    <xdr:pic>
      <xdr:nvPicPr>
        <xdr:cNvPr id="13" name="図 14"/>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3099114" y="457200"/>
          <a:ext cx="866446" cy="33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557193</xdr:colOff>
      <xdr:row>1</xdr:row>
      <xdr:rowOff>31915</xdr:rowOff>
    </xdr:from>
    <xdr:to>
      <xdr:col>18</xdr:col>
      <xdr:colOff>762187</xdr:colOff>
      <xdr:row>1</xdr:row>
      <xdr:rowOff>382979</xdr:rowOff>
    </xdr:to>
    <xdr:pic>
      <xdr:nvPicPr>
        <xdr:cNvPr id="14" name="図 15"/>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15530493" y="489115"/>
          <a:ext cx="204994" cy="3510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105302</xdr:colOff>
      <xdr:row>2</xdr:row>
      <xdr:rowOff>50977</xdr:rowOff>
    </xdr:from>
    <xdr:to>
      <xdr:col>15</xdr:col>
      <xdr:colOff>667712</xdr:colOff>
      <xdr:row>5</xdr:row>
      <xdr:rowOff>133606</xdr:rowOff>
    </xdr:to>
    <xdr:pic>
      <xdr:nvPicPr>
        <xdr:cNvPr id="15" name="図 16"/>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10592327" y="1117777"/>
          <a:ext cx="562410" cy="539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238345</xdr:colOff>
      <xdr:row>1</xdr:row>
      <xdr:rowOff>0</xdr:rowOff>
    </xdr:from>
    <xdr:to>
      <xdr:col>15</xdr:col>
      <xdr:colOff>1363167</xdr:colOff>
      <xdr:row>6</xdr:row>
      <xdr:rowOff>51398</xdr:rowOff>
    </xdr:to>
    <xdr:pic>
      <xdr:nvPicPr>
        <xdr:cNvPr id="16" name="図 9"/>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0725370" y="457200"/>
          <a:ext cx="1124822" cy="12705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1140872</xdr:colOff>
      <xdr:row>1</xdr:row>
      <xdr:rowOff>9402</xdr:rowOff>
    </xdr:from>
    <xdr:to>
      <xdr:col>3</xdr:col>
      <xdr:colOff>1612979</xdr:colOff>
      <xdr:row>4</xdr:row>
      <xdr:rowOff>83127</xdr:rowOff>
    </xdr:to>
    <xdr:pic>
      <xdr:nvPicPr>
        <xdr:cNvPr id="17" name="図 1"/>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2426747" y="466602"/>
          <a:ext cx="472107" cy="98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53246</xdr:colOff>
      <xdr:row>1</xdr:row>
      <xdr:rowOff>0</xdr:rowOff>
    </xdr:from>
    <xdr:to>
      <xdr:col>3</xdr:col>
      <xdr:colOff>141531</xdr:colOff>
      <xdr:row>1</xdr:row>
      <xdr:rowOff>413001</xdr:rowOff>
    </xdr:to>
    <xdr:pic>
      <xdr:nvPicPr>
        <xdr:cNvPr id="18" name="図 3"/>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1081946" y="457200"/>
          <a:ext cx="345460" cy="413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175276</xdr:colOff>
      <xdr:row>1</xdr:row>
      <xdr:rowOff>112768</xdr:rowOff>
    </xdr:from>
    <xdr:to>
      <xdr:col>3</xdr:col>
      <xdr:colOff>478978</xdr:colOff>
      <xdr:row>2</xdr:row>
      <xdr:rowOff>38994</xdr:rowOff>
    </xdr:to>
    <xdr:pic>
      <xdr:nvPicPr>
        <xdr:cNvPr id="19" name="図 8"/>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461151" y="569968"/>
          <a:ext cx="303702" cy="5358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527254</xdr:colOff>
      <xdr:row>1</xdr:row>
      <xdr:rowOff>62099</xdr:rowOff>
    </xdr:from>
    <xdr:to>
      <xdr:col>6</xdr:col>
      <xdr:colOff>511795</xdr:colOff>
      <xdr:row>3</xdr:row>
      <xdr:rowOff>44162</xdr:rowOff>
    </xdr:to>
    <xdr:pic>
      <xdr:nvPicPr>
        <xdr:cNvPr id="20" name="図 17"/>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5070679" y="519299"/>
          <a:ext cx="1213266" cy="7440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548462</xdr:colOff>
      <xdr:row>1</xdr:row>
      <xdr:rowOff>72736</xdr:rowOff>
    </xdr:from>
    <xdr:to>
      <xdr:col>4</xdr:col>
      <xdr:colOff>904520</xdr:colOff>
      <xdr:row>2</xdr:row>
      <xdr:rowOff>62839</xdr:rowOff>
    </xdr:to>
    <xdr:pic>
      <xdr:nvPicPr>
        <xdr:cNvPr id="21" name="図 18"/>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3863162" y="529936"/>
          <a:ext cx="356058" cy="5997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987986</xdr:colOff>
      <xdr:row>1</xdr:row>
      <xdr:rowOff>91491</xdr:rowOff>
    </xdr:from>
    <xdr:to>
      <xdr:col>4</xdr:col>
      <xdr:colOff>1169833</xdr:colOff>
      <xdr:row>1</xdr:row>
      <xdr:rowOff>308820</xdr:rowOff>
    </xdr:to>
    <xdr:pic>
      <xdr:nvPicPr>
        <xdr:cNvPr id="22" name="図 22"/>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4302686" y="548691"/>
          <a:ext cx="181847" cy="217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101742</xdr:colOff>
      <xdr:row>1</xdr:row>
      <xdr:rowOff>0</xdr:rowOff>
    </xdr:from>
    <xdr:to>
      <xdr:col>10</xdr:col>
      <xdr:colOff>106556</xdr:colOff>
      <xdr:row>2</xdr:row>
      <xdr:rowOff>88382</xdr:rowOff>
    </xdr:to>
    <xdr:pic>
      <xdr:nvPicPr>
        <xdr:cNvPr id="23" name="図 20"/>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7102617" y="457200"/>
          <a:ext cx="709664" cy="6979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1620735</xdr:colOff>
      <xdr:row>1</xdr:row>
      <xdr:rowOff>0</xdr:rowOff>
    </xdr:from>
    <xdr:to>
      <xdr:col>4</xdr:col>
      <xdr:colOff>408215</xdr:colOff>
      <xdr:row>3</xdr:row>
      <xdr:rowOff>38874</xdr:rowOff>
    </xdr:to>
    <xdr:pic>
      <xdr:nvPicPr>
        <xdr:cNvPr id="24" name="図 21"/>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rcRect/>
        <a:stretch>
          <a:fillRect/>
        </a:stretch>
      </xdr:blipFill>
      <xdr:spPr bwMode="auto">
        <a:xfrm>
          <a:off x="2906610" y="457200"/>
          <a:ext cx="816305" cy="800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265906</xdr:colOff>
      <xdr:row>1</xdr:row>
      <xdr:rowOff>31916</xdr:rowOff>
    </xdr:from>
    <xdr:to>
      <xdr:col>10</xdr:col>
      <xdr:colOff>556486</xdr:colOff>
      <xdr:row>1</xdr:row>
      <xdr:rowOff>337768</xdr:rowOff>
    </xdr:to>
    <xdr:pic>
      <xdr:nvPicPr>
        <xdr:cNvPr id="25" name="図 23"/>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Lst>
        </a:blip>
        <a:srcRect/>
        <a:stretch>
          <a:fillRect/>
        </a:stretch>
      </xdr:blipFill>
      <xdr:spPr bwMode="auto">
        <a:xfrm>
          <a:off x="7971631" y="489116"/>
          <a:ext cx="290580" cy="305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820214</xdr:colOff>
      <xdr:row>1</xdr:row>
      <xdr:rowOff>10638</xdr:rowOff>
    </xdr:from>
    <xdr:to>
      <xdr:col>6</xdr:col>
      <xdr:colOff>1040643</xdr:colOff>
      <xdr:row>1</xdr:row>
      <xdr:rowOff>297873</xdr:rowOff>
    </xdr:to>
    <xdr:pic>
      <xdr:nvPicPr>
        <xdr:cNvPr id="26" name="図 24"/>
        <xdr:cNvPicPr>
          <a:picLocks noChangeAspect="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6592364" y="467838"/>
          <a:ext cx="220429" cy="287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261469</xdr:colOff>
      <xdr:row>1</xdr:row>
      <xdr:rowOff>27215</xdr:rowOff>
    </xdr:from>
    <xdr:to>
      <xdr:col>5</xdr:col>
      <xdr:colOff>463684</xdr:colOff>
      <xdr:row>2</xdr:row>
      <xdr:rowOff>17318</xdr:rowOff>
    </xdr:to>
    <xdr:pic>
      <xdr:nvPicPr>
        <xdr:cNvPr id="27" name="図 25"/>
        <xdr:cNvPicPr>
          <a:picLocks noChangeAspect="1"/>
        </xdr:cNvPicPr>
      </xdr:nvPicPr>
      <xdr:blipFill>
        <a:blip xmlns:r="http://schemas.openxmlformats.org/officeDocument/2006/relationships" r:embed="rId23" cstate="print">
          <a:extLst>
            <a:ext uri="{28A0092B-C50C-407E-A947-70E740481C1C}">
              <a14:useLocalDpi xmlns:a14="http://schemas.microsoft.com/office/drawing/2010/main" val="0"/>
            </a:ext>
          </a:extLst>
        </a:blip>
        <a:srcRect/>
        <a:stretch>
          <a:fillRect/>
        </a:stretch>
      </xdr:blipFill>
      <xdr:spPr bwMode="auto">
        <a:xfrm>
          <a:off x="4804894" y="484415"/>
          <a:ext cx="202215" cy="5997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33281</xdr:colOff>
      <xdr:row>2</xdr:row>
      <xdr:rowOff>29193</xdr:rowOff>
    </xdr:from>
    <xdr:to>
      <xdr:col>3</xdr:col>
      <xdr:colOff>1208094</xdr:colOff>
      <xdr:row>7</xdr:row>
      <xdr:rowOff>68036</xdr:rowOff>
    </xdr:to>
    <xdr:pic>
      <xdr:nvPicPr>
        <xdr:cNvPr id="28" name="図 30"/>
        <xdr:cNvPicPr>
          <a:picLocks noChangeAspect="1"/>
        </xdr:cNvPicPr>
      </xdr:nvPicPr>
      <xdr:blipFill>
        <a:blip xmlns:r="http://schemas.openxmlformats.org/officeDocument/2006/relationships" r:embed="rId24" cstate="print">
          <a:extLst>
            <a:ext uri="{28A0092B-C50C-407E-A947-70E740481C1C}">
              <a14:useLocalDpi xmlns:a14="http://schemas.microsoft.com/office/drawing/2010/main" val="0"/>
            </a:ext>
          </a:extLst>
        </a:blip>
        <a:srcRect/>
        <a:stretch>
          <a:fillRect/>
        </a:stretch>
      </xdr:blipFill>
      <xdr:spPr bwMode="auto">
        <a:xfrm>
          <a:off x="1319156" y="1095993"/>
          <a:ext cx="1174813" cy="8008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9038</xdr:colOff>
      <xdr:row>65</xdr:row>
      <xdr:rowOff>56627</xdr:rowOff>
    </xdr:from>
    <xdr:to>
      <xdr:col>21</xdr:col>
      <xdr:colOff>210459</xdr:colOff>
      <xdr:row>68</xdr:row>
      <xdr:rowOff>53158</xdr:rowOff>
    </xdr:to>
    <xdr:pic>
      <xdr:nvPicPr>
        <xdr:cNvPr id="29" name="図 8328"/>
        <xdr:cNvPicPr>
          <a:picLocks noChangeAspect="1"/>
        </xdr:cNvPicPr>
      </xdr:nvPicPr>
      <xdr:blipFill>
        <a:blip xmlns:r="http://schemas.openxmlformats.org/officeDocument/2006/relationships" r:embed="rId25" cstate="print">
          <a:extLst>
            <a:ext uri="{28A0092B-C50C-407E-A947-70E740481C1C}">
              <a14:useLocalDpi xmlns:a14="http://schemas.microsoft.com/office/drawing/2010/main" val="0"/>
            </a:ext>
          </a:extLst>
        </a:blip>
        <a:srcRect/>
        <a:stretch>
          <a:fillRect/>
        </a:stretch>
      </xdr:blipFill>
      <xdr:spPr bwMode="auto">
        <a:xfrm>
          <a:off x="16211063" y="11277077"/>
          <a:ext cx="906271" cy="4823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63</xdr:row>
      <xdr:rowOff>0</xdr:rowOff>
    </xdr:from>
    <xdr:to>
      <xdr:col>3</xdr:col>
      <xdr:colOff>870856</xdr:colOff>
      <xdr:row>71</xdr:row>
      <xdr:rowOff>20958</xdr:rowOff>
    </xdr:to>
    <xdr:pic>
      <xdr:nvPicPr>
        <xdr:cNvPr id="30" name="図 1"/>
        <xdr:cNvPicPr>
          <a:picLocks noChangeAspect="1"/>
        </xdr:cNvPicPr>
      </xdr:nvPicPr>
      <xdr:blipFill>
        <a:blip xmlns:r="http://schemas.openxmlformats.org/officeDocument/2006/relationships" r:embed="rId26" cstate="print">
          <a:extLst>
            <a:ext uri="{28A0092B-C50C-407E-A947-70E740481C1C}">
              <a14:useLocalDpi xmlns:a14="http://schemas.microsoft.com/office/drawing/2010/main" val="0"/>
            </a:ext>
          </a:extLst>
        </a:blip>
        <a:srcRect/>
        <a:stretch>
          <a:fillRect/>
        </a:stretch>
      </xdr:blipFill>
      <xdr:spPr bwMode="auto">
        <a:xfrm>
          <a:off x="685800" y="10896600"/>
          <a:ext cx="1470931" cy="13163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609720</xdr:colOff>
      <xdr:row>64</xdr:row>
      <xdr:rowOff>120581</xdr:rowOff>
    </xdr:from>
    <xdr:to>
      <xdr:col>3</xdr:col>
      <xdr:colOff>1836797</xdr:colOff>
      <xdr:row>68</xdr:row>
      <xdr:rowOff>52873</xdr:rowOff>
    </xdr:to>
    <xdr:pic>
      <xdr:nvPicPr>
        <xdr:cNvPr id="31" name="図 2"/>
        <xdr:cNvPicPr>
          <a:picLocks noChangeAspect="1"/>
        </xdr:cNvPicPr>
      </xdr:nvPicPr>
      <xdr:blipFill>
        <a:blip xmlns:r="http://schemas.openxmlformats.org/officeDocument/2006/relationships" r:embed="rId27" cstate="print">
          <a:extLst>
            <a:ext uri="{28A0092B-C50C-407E-A947-70E740481C1C}">
              <a14:useLocalDpi xmlns:a14="http://schemas.microsoft.com/office/drawing/2010/main" val="0"/>
            </a:ext>
          </a:extLst>
        </a:blip>
        <a:srcRect/>
        <a:stretch>
          <a:fillRect/>
        </a:stretch>
      </xdr:blipFill>
      <xdr:spPr bwMode="auto">
        <a:xfrm>
          <a:off x="1895595" y="11179106"/>
          <a:ext cx="1227077" cy="5799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861907</xdr:colOff>
      <xdr:row>68</xdr:row>
      <xdr:rowOff>73865</xdr:rowOff>
    </xdr:from>
    <xdr:to>
      <xdr:col>3</xdr:col>
      <xdr:colOff>1483179</xdr:colOff>
      <xdr:row>70</xdr:row>
      <xdr:rowOff>124989</xdr:rowOff>
    </xdr:to>
    <xdr:pic>
      <xdr:nvPicPr>
        <xdr:cNvPr id="32" name="図 3"/>
        <xdr:cNvPicPr>
          <a:picLocks noChangeAspect="1"/>
        </xdr:cNvPicPr>
      </xdr:nvPicPr>
      <xdr:blipFill>
        <a:blip xmlns:r="http://schemas.openxmlformats.org/officeDocument/2006/relationships" r:embed="rId28" cstate="print">
          <a:extLst>
            <a:ext uri="{28A0092B-C50C-407E-A947-70E740481C1C}">
              <a14:useLocalDpi xmlns:a14="http://schemas.microsoft.com/office/drawing/2010/main" val="0"/>
            </a:ext>
          </a:extLst>
        </a:blip>
        <a:srcRect/>
        <a:stretch>
          <a:fillRect/>
        </a:stretch>
      </xdr:blipFill>
      <xdr:spPr bwMode="auto">
        <a:xfrm>
          <a:off x="2147782" y="11780090"/>
          <a:ext cx="621272" cy="374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2005990</xdr:colOff>
      <xdr:row>64</xdr:row>
      <xdr:rowOff>144386</xdr:rowOff>
    </xdr:from>
    <xdr:to>
      <xdr:col>4</xdr:col>
      <xdr:colOff>779614</xdr:colOff>
      <xdr:row>67</xdr:row>
      <xdr:rowOff>101114</xdr:rowOff>
    </xdr:to>
    <xdr:pic>
      <xdr:nvPicPr>
        <xdr:cNvPr id="33" name="図 5"/>
        <xdr:cNvPicPr>
          <a:picLocks noChangeAspect="1"/>
        </xdr:cNvPicPr>
      </xdr:nvPicPr>
      <xdr:blipFill>
        <a:blip xmlns:r="http://schemas.openxmlformats.org/officeDocument/2006/relationships" r:embed="rId29" cstate="print">
          <a:extLst>
            <a:ext uri="{28A0092B-C50C-407E-A947-70E740481C1C}">
              <a14:useLocalDpi xmlns:a14="http://schemas.microsoft.com/office/drawing/2010/main" val="0"/>
            </a:ext>
          </a:extLst>
        </a:blip>
        <a:srcRect/>
        <a:stretch>
          <a:fillRect/>
        </a:stretch>
      </xdr:blipFill>
      <xdr:spPr bwMode="auto">
        <a:xfrm>
          <a:off x="3291865" y="11202911"/>
          <a:ext cx="802449" cy="442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631892</xdr:colOff>
      <xdr:row>66</xdr:row>
      <xdr:rowOff>117103</xdr:rowOff>
    </xdr:from>
    <xdr:to>
      <xdr:col>5</xdr:col>
      <xdr:colOff>62871</xdr:colOff>
      <xdr:row>70</xdr:row>
      <xdr:rowOff>83399</xdr:rowOff>
    </xdr:to>
    <xdr:pic>
      <xdr:nvPicPr>
        <xdr:cNvPr id="34" name="図 6"/>
        <xdr:cNvPicPr>
          <a:picLocks noChangeAspect="1"/>
        </xdr:cNvPicPr>
      </xdr:nvPicPr>
      <xdr:blipFill>
        <a:blip xmlns:r="http://schemas.openxmlformats.org/officeDocument/2006/relationships" r:embed="rId30" cstate="print">
          <a:extLst>
            <a:ext uri="{28A0092B-C50C-407E-A947-70E740481C1C}">
              <a14:useLocalDpi xmlns:a14="http://schemas.microsoft.com/office/drawing/2010/main" val="0"/>
            </a:ext>
          </a:extLst>
        </a:blip>
        <a:srcRect/>
        <a:stretch>
          <a:fillRect/>
        </a:stretch>
      </xdr:blipFill>
      <xdr:spPr bwMode="auto">
        <a:xfrm>
          <a:off x="3946592" y="11499478"/>
          <a:ext cx="659704" cy="61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263452</xdr:colOff>
      <xdr:row>65</xdr:row>
      <xdr:rowOff>19670</xdr:rowOff>
    </xdr:from>
    <xdr:to>
      <xdr:col>6</xdr:col>
      <xdr:colOff>103615</xdr:colOff>
      <xdr:row>70</xdr:row>
      <xdr:rowOff>28971</xdr:rowOff>
    </xdr:to>
    <xdr:pic>
      <xdr:nvPicPr>
        <xdr:cNvPr id="35" name="図 7"/>
        <xdr:cNvPicPr>
          <a:picLocks noChangeAspect="1"/>
        </xdr:cNvPicPr>
      </xdr:nvPicPr>
      <xdr:blipFill>
        <a:blip xmlns:r="http://schemas.openxmlformats.org/officeDocument/2006/relationships" r:embed="rId31" cstate="print">
          <a:extLst>
            <a:ext uri="{28A0092B-C50C-407E-A947-70E740481C1C}">
              <a14:useLocalDpi xmlns:a14="http://schemas.microsoft.com/office/drawing/2010/main" val="0"/>
            </a:ext>
          </a:extLst>
        </a:blip>
        <a:srcRect/>
        <a:stretch>
          <a:fillRect/>
        </a:stretch>
      </xdr:blipFill>
      <xdr:spPr bwMode="auto">
        <a:xfrm>
          <a:off x="4806877" y="11240120"/>
          <a:ext cx="1068888" cy="818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492738</xdr:colOff>
      <xdr:row>65</xdr:row>
      <xdr:rowOff>45196</xdr:rowOff>
    </xdr:from>
    <xdr:to>
      <xdr:col>6</xdr:col>
      <xdr:colOff>1183677</xdr:colOff>
      <xdr:row>70</xdr:row>
      <xdr:rowOff>25594</xdr:rowOff>
    </xdr:to>
    <xdr:pic>
      <xdr:nvPicPr>
        <xdr:cNvPr id="36" name="図 8"/>
        <xdr:cNvPicPr>
          <a:picLocks noChangeAspect="1"/>
        </xdr:cNvPicPr>
      </xdr:nvPicPr>
      <xdr:blipFill>
        <a:blip xmlns:r="http://schemas.openxmlformats.org/officeDocument/2006/relationships" r:embed="rId32" cstate="print">
          <a:extLst>
            <a:ext uri="{28A0092B-C50C-407E-A947-70E740481C1C}">
              <a14:useLocalDpi xmlns:a14="http://schemas.microsoft.com/office/drawing/2010/main" val="0"/>
            </a:ext>
          </a:extLst>
        </a:blip>
        <a:srcRect/>
        <a:stretch>
          <a:fillRect/>
        </a:stretch>
      </xdr:blipFill>
      <xdr:spPr bwMode="auto">
        <a:xfrm>
          <a:off x="6264888" y="11265646"/>
          <a:ext cx="690939" cy="7900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1019175</xdr:colOff>
      <xdr:row>46</xdr:row>
      <xdr:rowOff>9525</xdr:rowOff>
    </xdr:from>
    <xdr:to>
      <xdr:col>16</xdr:col>
      <xdr:colOff>257175</xdr:colOff>
      <xdr:row>48</xdr:row>
      <xdr:rowOff>123825</xdr:rowOff>
    </xdr:to>
    <xdr:pic>
      <xdr:nvPicPr>
        <xdr:cNvPr id="37" name="図 14"/>
        <xdr:cNvPicPr>
          <a:picLocks noChangeAspect="1"/>
        </xdr:cNvPicPr>
      </xdr:nvPicPr>
      <xdr:blipFill>
        <a:blip xmlns:r="http://schemas.openxmlformats.org/officeDocument/2006/relationships" r:embed="rId33" cstate="print">
          <a:extLst>
            <a:ext uri="{28A0092B-C50C-407E-A947-70E740481C1C}">
              <a14:useLocalDpi xmlns:a14="http://schemas.microsoft.com/office/drawing/2010/main" val="0"/>
            </a:ext>
          </a:extLst>
        </a:blip>
        <a:srcRect/>
        <a:stretch>
          <a:fillRect/>
        </a:stretch>
      </xdr:blipFill>
      <xdr:spPr bwMode="auto">
        <a:xfrm>
          <a:off x="11506200" y="8153400"/>
          <a:ext cx="12668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419100</xdr:colOff>
      <xdr:row>22</xdr:row>
      <xdr:rowOff>0</xdr:rowOff>
    </xdr:from>
    <xdr:to>
      <xdr:col>19</xdr:col>
      <xdr:colOff>283368</xdr:colOff>
      <xdr:row>30</xdr:row>
      <xdr:rowOff>133350</xdr:rowOff>
    </xdr:to>
    <xdr:pic>
      <xdr:nvPicPr>
        <xdr:cNvPr id="1045"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59625" y="13935075"/>
          <a:ext cx="3019425"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523875</xdr:colOff>
      <xdr:row>29</xdr:row>
      <xdr:rowOff>0</xdr:rowOff>
    </xdr:from>
    <xdr:to>
      <xdr:col>19</xdr:col>
      <xdr:colOff>216693</xdr:colOff>
      <xdr:row>37</xdr:row>
      <xdr:rowOff>114300</xdr:rowOff>
    </xdr:to>
    <xdr:pic>
      <xdr:nvPicPr>
        <xdr:cNvPr id="2069"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964400" y="16278225"/>
          <a:ext cx="2847975" cy="2019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91"/>
  <sheetViews>
    <sheetView tabSelected="1" view="pageBreakPreview" zoomScale="50" zoomScaleNormal="90" zoomScaleSheetLayoutView="50" workbookViewId="0"/>
  </sheetViews>
  <sheetFormatPr defaultRowHeight="13.5"/>
  <cols>
    <col min="1" max="1" width="9" style="89"/>
    <col min="2" max="2" width="4.5" style="88" bestFit="1" customWidth="1"/>
    <col min="3" max="3" width="3.375" style="89" bestFit="1" customWidth="1"/>
    <col min="4" max="4" width="26.625" style="89" customWidth="1"/>
    <col min="5" max="7" width="16.125" style="89" customWidth="1"/>
    <col min="8" max="8" width="4.375" style="89" hidden="1" customWidth="1"/>
    <col min="9" max="9" width="5.125" style="90" customWidth="1"/>
    <col min="10" max="10" width="4.125" style="89" bestFit="1" customWidth="1"/>
    <col min="11" max="11" width="10.625" style="89" customWidth="1"/>
    <col min="12" max="12" width="15.625" style="89" customWidth="1"/>
    <col min="13" max="13" width="2.375" style="89" customWidth="1"/>
    <col min="14" max="14" width="4.5" style="91" bestFit="1" customWidth="1"/>
    <col min="15" max="15" width="3.375" style="89" bestFit="1" customWidth="1"/>
    <col min="16" max="16" width="26.625" style="89" customWidth="1"/>
    <col min="17" max="19" width="16.125" style="89" customWidth="1"/>
    <col min="20" max="20" width="5.125" style="90" customWidth="1"/>
    <col min="21" max="21" width="4.125" style="89" bestFit="1" customWidth="1"/>
    <col min="22" max="22" width="10.625" style="89" customWidth="1"/>
    <col min="23" max="23" width="15.625" style="89" customWidth="1"/>
    <col min="24" max="16384" width="9" style="89"/>
  </cols>
  <sheetData>
    <row r="1" spans="2:23" ht="36" customHeight="1"/>
    <row r="2" spans="2:23" ht="48" customHeight="1">
      <c r="N2" s="88"/>
    </row>
    <row r="3" spans="2:23" s="88" customFormat="1" ht="12" customHeight="1">
      <c r="B3" s="171" t="s">
        <v>282</v>
      </c>
      <c r="C3" s="172" t="s">
        <v>283</v>
      </c>
      <c r="D3" s="173"/>
      <c r="E3" s="174" t="s">
        <v>284</v>
      </c>
      <c r="F3" s="174"/>
      <c r="G3" s="174"/>
      <c r="H3" s="92"/>
      <c r="I3" s="175" t="s">
        <v>285</v>
      </c>
      <c r="J3" s="176"/>
      <c r="K3" s="177"/>
      <c r="L3" s="93"/>
      <c r="M3" s="94"/>
      <c r="N3" s="178" t="s">
        <v>282</v>
      </c>
      <c r="O3" s="204" t="s">
        <v>283</v>
      </c>
      <c r="P3" s="95"/>
      <c r="Q3" s="207" t="s">
        <v>284</v>
      </c>
      <c r="R3" s="208"/>
      <c r="S3" s="209"/>
      <c r="T3" s="175" t="s">
        <v>285</v>
      </c>
      <c r="U3" s="176"/>
      <c r="V3" s="177"/>
      <c r="W3" s="93"/>
    </row>
    <row r="4" spans="2:23" s="88" customFormat="1" ht="12" customHeight="1">
      <c r="B4" s="171"/>
      <c r="C4" s="172"/>
      <c r="D4" s="173"/>
      <c r="E4" s="210" t="s">
        <v>286</v>
      </c>
      <c r="F4" s="211" t="s">
        <v>287</v>
      </c>
      <c r="G4" s="212" t="s">
        <v>288</v>
      </c>
      <c r="H4" s="213"/>
      <c r="I4" s="193" t="s">
        <v>289</v>
      </c>
      <c r="J4" s="194"/>
      <c r="K4" s="214" t="s">
        <v>290</v>
      </c>
      <c r="L4" s="197" t="s">
        <v>291</v>
      </c>
      <c r="M4" s="96"/>
      <c r="N4" s="179"/>
      <c r="O4" s="205"/>
      <c r="P4" s="97"/>
      <c r="Q4" s="168" t="s">
        <v>286</v>
      </c>
      <c r="R4" s="185" t="s">
        <v>287</v>
      </c>
      <c r="S4" s="188" t="s">
        <v>288</v>
      </c>
      <c r="T4" s="191" t="s">
        <v>289</v>
      </c>
      <c r="U4" s="192"/>
      <c r="V4" s="96" t="s">
        <v>290</v>
      </c>
      <c r="W4" s="197" t="s">
        <v>291</v>
      </c>
    </row>
    <row r="5" spans="2:23" s="88" customFormat="1" ht="12" customHeight="1">
      <c r="B5" s="171"/>
      <c r="C5" s="172"/>
      <c r="D5" s="173"/>
      <c r="E5" s="210"/>
      <c r="F5" s="211"/>
      <c r="G5" s="212"/>
      <c r="H5" s="213"/>
      <c r="I5" s="193"/>
      <c r="J5" s="194"/>
      <c r="K5" s="214"/>
      <c r="L5" s="198"/>
      <c r="M5" s="96"/>
      <c r="N5" s="179"/>
      <c r="O5" s="205"/>
      <c r="P5" s="97"/>
      <c r="Q5" s="169"/>
      <c r="R5" s="186"/>
      <c r="S5" s="189"/>
      <c r="T5" s="193"/>
      <c r="U5" s="194"/>
      <c r="V5" s="96"/>
      <c r="W5" s="198"/>
    </row>
    <row r="6" spans="2:23" s="88" customFormat="1" ht="12" customHeight="1">
      <c r="B6" s="171"/>
      <c r="C6" s="172"/>
      <c r="D6" s="173"/>
      <c r="E6" s="210"/>
      <c r="F6" s="211"/>
      <c r="G6" s="212"/>
      <c r="H6" s="213"/>
      <c r="I6" s="193"/>
      <c r="J6" s="194"/>
      <c r="K6" s="214"/>
      <c r="L6" s="198"/>
      <c r="M6" s="96"/>
      <c r="N6" s="179"/>
      <c r="O6" s="205"/>
      <c r="P6" s="97"/>
      <c r="Q6" s="169"/>
      <c r="R6" s="186"/>
      <c r="S6" s="189"/>
      <c r="T6" s="193"/>
      <c r="U6" s="194"/>
      <c r="V6" s="96"/>
      <c r="W6" s="198"/>
    </row>
    <row r="7" spans="2:23" s="88" customFormat="1" ht="12" customHeight="1">
      <c r="B7" s="171"/>
      <c r="C7" s="172"/>
      <c r="D7" s="173"/>
      <c r="E7" s="210"/>
      <c r="F7" s="211"/>
      <c r="G7" s="212"/>
      <c r="H7" s="213"/>
      <c r="I7" s="195"/>
      <c r="J7" s="196"/>
      <c r="K7" s="215"/>
      <c r="L7" s="199"/>
      <c r="M7" s="96"/>
      <c r="N7" s="180"/>
      <c r="O7" s="206"/>
      <c r="P7" s="98"/>
      <c r="Q7" s="170"/>
      <c r="R7" s="187"/>
      <c r="S7" s="190"/>
      <c r="T7" s="195"/>
      <c r="U7" s="196"/>
      <c r="V7" s="99"/>
      <c r="W7" s="199"/>
    </row>
    <row r="8" spans="2:23" ht="12.75" customHeight="1">
      <c r="B8" s="181">
        <v>2</v>
      </c>
      <c r="C8" s="183" t="s">
        <v>292</v>
      </c>
      <c r="D8" s="100" t="s">
        <v>70</v>
      </c>
      <c r="E8" s="184" t="s">
        <v>293</v>
      </c>
      <c r="F8" s="184" t="s">
        <v>294</v>
      </c>
      <c r="G8" s="184" t="s">
        <v>295</v>
      </c>
      <c r="H8" s="101"/>
      <c r="I8" s="102">
        <f>431*0.75</f>
        <v>323.25</v>
      </c>
      <c r="J8" s="103" t="s">
        <v>296</v>
      </c>
      <c r="K8" s="201" t="s">
        <v>43</v>
      </c>
      <c r="L8" s="104" t="s">
        <v>38</v>
      </c>
      <c r="M8" s="105"/>
      <c r="N8" s="216">
        <v>16</v>
      </c>
      <c r="O8" s="216" t="s">
        <v>292</v>
      </c>
      <c r="P8" s="100" t="s">
        <v>70</v>
      </c>
      <c r="Q8" s="219" t="s">
        <v>297</v>
      </c>
      <c r="R8" s="219" t="s">
        <v>298</v>
      </c>
      <c r="S8" s="219" t="s">
        <v>295</v>
      </c>
      <c r="T8" s="106">
        <f>431*0.75</f>
        <v>323.25</v>
      </c>
      <c r="U8" s="107" t="s">
        <v>299</v>
      </c>
      <c r="V8" s="108" t="s">
        <v>43</v>
      </c>
      <c r="W8" s="104" t="s">
        <v>38</v>
      </c>
    </row>
    <row r="9" spans="2:23" ht="12.75" customHeight="1">
      <c r="B9" s="181"/>
      <c r="C9" s="183"/>
      <c r="D9" s="109" t="s">
        <v>77</v>
      </c>
      <c r="E9" s="200"/>
      <c r="F9" s="200"/>
      <c r="G9" s="184"/>
      <c r="H9" s="101"/>
      <c r="I9" s="110">
        <f>13.3*0.75</f>
        <v>9.9750000000000014</v>
      </c>
      <c r="J9" s="109" t="s">
        <v>300</v>
      </c>
      <c r="K9" s="202"/>
      <c r="L9" s="111" t="s">
        <v>301</v>
      </c>
      <c r="M9" s="105"/>
      <c r="N9" s="217"/>
      <c r="O9" s="217"/>
      <c r="P9" s="109" t="s">
        <v>77</v>
      </c>
      <c r="Q9" s="220"/>
      <c r="R9" s="220"/>
      <c r="S9" s="220"/>
      <c r="T9" s="110">
        <f>13.3*0.75</f>
        <v>9.9750000000000014</v>
      </c>
      <c r="U9" s="112" t="s">
        <v>300</v>
      </c>
      <c r="V9" s="105"/>
      <c r="W9" s="111" t="s">
        <v>301</v>
      </c>
    </row>
    <row r="10" spans="2:23" ht="12.75" customHeight="1">
      <c r="B10" s="181"/>
      <c r="C10" s="183"/>
      <c r="D10" s="109" t="s">
        <v>84</v>
      </c>
      <c r="E10" s="200"/>
      <c r="F10" s="200"/>
      <c r="G10" s="184"/>
      <c r="H10" s="101"/>
      <c r="I10" s="110">
        <f>12.5*0.75</f>
        <v>9.375</v>
      </c>
      <c r="J10" s="109" t="s">
        <v>300</v>
      </c>
      <c r="K10" s="202"/>
      <c r="L10" s="111"/>
      <c r="M10" s="105"/>
      <c r="N10" s="217"/>
      <c r="O10" s="217"/>
      <c r="P10" s="109" t="s">
        <v>84</v>
      </c>
      <c r="Q10" s="220"/>
      <c r="R10" s="220"/>
      <c r="S10" s="220"/>
      <c r="T10" s="110">
        <f>12.5*0.75</f>
        <v>9.375</v>
      </c>
      <c r="U10" s="112" t="s">
        <v>300</v>
      </c>
      <c r="V10" s="105"/>
      <c r="W10" s="111"/>
    </row>
    <row r="11" spans="2:23" ht="12.75" customHeight="1">
      <c r="B11" s="181"/>
      <c r="C11" s="183"/>
      <c r="D11" s="109"/>
      <c r="E11" s="200"/>
      <c r="F11" s="200"/>
      <c r="G11" s="184"/>
      <c r="H11" s="101"/>
      <c r="I11" s="110">
        <f>64.6*0.75</f>
        <v>48.449999999999996</v>
      </c>
      <c r="J11" s="109" t="s">
        <v>300</v>
      </c>
      <c r="K11" s="202"/>
      <c r="L11" s="111"/>
      <c r="M11" s="105"/>
      <c r="N11" s="217"/>
      <c r="O11" s="217"/>
      <c r="P11" s="109"/>
      <c r="Q11" s="220"/>
      <c r="R11" s="220"/>
      <c r="S11" s="220"/>
      <c r="T11" s="110">
        <f>64.6*0.75</f>
        <v>48.449999999999996</v>
      </c>
      <c r="U11" s="112" t="s">
        <v>300</v>
      </c>
      <c r="V11" s="105"/>
      <c r="W11" s="111"/>
    </row>
    <row r="12" spans="2:23" ht="12.75" customHeight="1">
      <c r="B12" s="181"/>
      <c r="C12" s="183"/>
      <c r="D12" s="113"/>
      <c r="E12" s="200"/>
      <c r="F12" s="200"/>
      <c r="G12" s="184"/>
      <c r="H12" s="101"/>
      <c r="I12" s="114">
        <f>1.6*0.75</f>
        <v>1.2000000000000002</v>
      </c>
      <c r="J12" s="113" t="s">
        <v>302</v>
      </c>
      <c r="K12" s="203"/>
      <c r="L12" s="115"/>
      <c r="M12" s="105"/>
      <c r="N12" s="218"/>
      <c r="O12" s="218"/>
      <c r="P12" s="113"/>
      <c r="Q12" s="221"/>
      <c r="R12" s="221"/>
      <c r="S12" s="221"/>
      <c r="T12" s="114">
        <f>1.6*0.75</f>
        <v>1.2000000000000002</v>
      </c>
      <c r="U12" s="116" t="s">
        <v>300</v>
      </c>
      <c r="V12" s="117"/>
      <c r="W12" s="115"/>
    </row>
    <row r="13" spans="2:23" ht="12.75" customHeight="1">
      <c r="B13" s="181">
        <v>3</v>
      </c>
      <c r="C13" s="183" t="s">
        <v>303</v>
      </c>
      <c r="D13" s="103" t="s">
        <v>96</v>
      </c>
      <c r="E13" s="184" t="s">
        <v>304</v>
      </c>
      <c r="F13" s="184" t="s">
        <v>305</v>
      </c>
      <c r="G13" s="184" t="s">
        <v>306</v>
      </c>
      <c r="H13" s="101"/>
      <c r="I13" s="102">
        <f>410*0.75</f>
        <v>307.5</v>
      </c>
      <c r="J13" s="107" t="s">
        <v>307</v>
      </c>
      <c r="K13" s="201" t="s">
        <v>308</v>
      </c>
      <c r="L13" s="104" t="s">
        <v>38</v>
      </c>
      <c r="M13" s="105"/>
      <c r="N13" s="216">
        <v>17</v>
      </c>
      <c r="O13" s="216" t="s">
        <v>303</v>
      </c>
      <c r="P13" s="103" t="s">
        <v>96</v>
      </c>
      <c r="Q13" s="219" t="s">
        <v>309</v>
      </c>
      <c r="R13" s="219" t="s">
        <v>305</v>
      </c>
      <c r="S13" s="219" t="s">
        <v>306</v>
      </c>
      <c r="T13" s="102">
        <f>410*0.75</f>
        <v>307.5</v>
      </c>
      <c r="U13" s="103" t="s">
        <v>296</v>
      </c>
      <c r="V13" s="108" t="s">
        <v>308</v>
      </c>
      <c r="W13" s="104" t="s">
        <v>38</v>
      </c>
    </row>
    <row r="14" spans="2:23" ht="12.75" customHeight="1">
      <c r="B14" s="182"/>
      <c r="C14" s="183"/>
      <c r="D14" s="118" t="s">
        <v>99</v>
      </c>
      <c r="E14" s="184"/>
      <c r="F14" s="184"/>
      <c r="G14" s="184"/>
      <c r="H14" s="101"/>
      <c r="I14" s="110">
        <f>14*0.75</f>
        <v>10.5</v>
      </c>
      <c r="J14" s="109" t="s">
        <v>310</v>
      </c>
      <c r="K14" s="202"/>
      <c r="L14" s="111" t="s">
        <v>311</v>
      </c>
      <c r="M14" s="105"/>
      <c r="N14" s="217"/>
      <c r="O14" s="217"/>
      <c r="P14" s="118" t="s">
        <v>99</v>
      </c>
      <c r="Q14" s="220"/>
      <c r="R14" s="220"/>
      <c r="S14" s="220"/>
      <c r="T14" s="110">
        <f>14*0.75</f>
        <v>10.5</v>
      </c>
      <c r="U14" s="109" t="s">
        <v>310</v>
      </c>
      <c r="V14" s="105"/>
      <c r="W14" s="111" t="s">
        <v>311</v>
      </c>
    </row>
    <row r="15" spans="2:23" ht="12.75" customHeight="1">
      <c r="B15" s="182"/>
      <c r="C15" s="183"/>
      <c r="D15" s="109" t="s">
        <v>112</v>
      </c>
      <c r="E15" s="184"/>
      <c r="F15" s="184"/>
      <c r="G15" s="184"/>
      <c r="H15" s="101"/>
      <c r="I15" s="110">
        <f>12.6*0.75</f>
        <v>9.4499999999999993</v>
      </c>
      <c r="J15" s="109" t="s">
        <v>310</v>
      </c>
      <c r="K15" s="202"/>
      <c r="L15" s="111"/>
      <c r="M15" s="105"/>
      <c r="N15" s="217"/>
      <c r="O15" s="217"/>
      <c r="P15" s="109" t="s">
        <v>112</v>
      </c>
      <c r="Q15" s="220"/>
      <c r="R15" s="220"/>
      <c r="S15" s="220"/>
      <c r="T15" s="110">
        <f>12.6*0.75</f>
        <v>9.4499999999999993</v>
      </c>
      <c r="U15" s="109" t="s">
        <v>310</v>
      </c>
      <c r="V15" s="105"/>
      <c r="W15" s="111"/>
    </row>
    <row r="16" spans="2:23" ht="12.75" customHeight="1">
      <c r="B16" s="182"/>
      <c r="C16" s="183"/>
      <c r="D16" s="109" t="s">
        <v>92</v>
      </c>
      <c r="E16" s="184"/>
      <c r="F16" s="184"/>
      <c r="G16" s="184"/>
      <c r="H16" s="101"/>
      <c r="I16" s="110">
        <f>57*0.75</f>
        <v>42.75</v>
      </c>
      <c r="J16" s="109" t="s">
        <v>310</v>
      </c>
      <c r="K16" s="202"/>
      <c r="L16" s="111"/>
      <c r="M16" s="105"/>
      <c r="N16" s="217"/>
      <c r="O16" s="217"/>
      <c r="P16" s="109" t="s">
        <v>92</v>
      </c>
      <c r="Q16" s="220"/>
      <c r="R16" s="220"/>
      <c r="S16" s="220"/>
      <c r="T16" s="110">
        <f>57*0.75</f>
        <v>42.75</v>
      </c>
      <c r="U16" s="109" t="s">
        <v>310</v>
      </c>
      <c r="V16" s="105"/>
      <c r="W16" s="111"/>
    </row>
    <row r="17" spans="2:23" ht="12.75" customHeight="1">
      <c r="B17" s="182"/>
      <c r="C17" s="183"/>
      <c r="D17" s="113"/>
      <c r="E17" s="184"/>
      <c r="F17" s="184"/>
      <c r="G17" s="184"/>
      <c r="H17" s="101"/>
      <c r="I17" s="114">
        <f>1.1*0.75</f>
        <v>0.82500000000000007</v>
      </c>
      <c r="J17" s="113" t="s">
        <v>310</v>
      </c>
      <c r="K17" s="203"/>
      <c r="L17" s="115"/>
      <c r="M17" s="105"/>
      <c r="N17" s="218"/>
      <c r="O17" s="218"/>
      <c r="P17" s="113"/>
      <c r="Q17" s="221"/>
      <c r="R17" s="221"/>
      <c r="S17" s="221"/>
      <c r="T17" s="114">
        <f>1.1*0.75</f>
        <v>0.82500000000000007</v>
      </c>
      <c r="U17" s="113" t="s">
        <v>312</v>
      </c>
      <c r="V17" s="117"/>
      <c r="W17" s="115"/>
    </row>
    <row r="18" spans="2:23" ht="12.75" customHeight="1">
      <c r="B18" s="181">
        <v>4</v>
      </c>
      <c r="C18" s="183" t="s">
        <v>49</v>
      </c>
      <c r="D18" s="103" t="s">
        <v>53</v>
      </c>
      <c r="E18" s="184" t="s">
        <v>313</v>
      </c>
      <c r="F18" s="184" t="s">
        <v>314</v>
      </c>
      <c r="G18" s="184" t="s">
        <v>315</v>
      </c>
      <c r="H18" s="101"/>
      <c r="I18" s="102">
        <f>397*0.75</f>
        <v>297.75</v>
      </c>
      <c r="J18" s="107" t="s">
        <v>316</v>
      </c>
      <c r="K18" s="201" t="s">
        <v>15</v>
      </c>
      <c r="L18" s="104" t="s">
        <v>38</v>
      </c>
      <c r="M18" s="105"/>
      <c r="N18" s="216">
        <v>18</v>
      </c>
      <c r="O18" s="216" t="s">
        <v>49</v>
      </c>
      <c r="P18" s="103" t="s">
        <v>53</v>
      </c>
      <c r="Q18" s="219" t="s">
        <v>313</v>
      </c>
      <c r="R18" s="219" t="s">
        <v>314</v>
      </c>
      <c r="S18" s="219" t="s">
        <v>315</v>
      </c>
      <c r="T18" s="102">
        <f>397*0.75</f>
        <v>297.75</v>
      </c>
      <c r="U18" s="107" t="s">
        <v>316</v>
      </c>
      <c r="V18" s="108" t="s">
        <v>15</v>
      </c>
      <c r="W18" s="104" t="s">
        <v>38</v>
      </c>
    </row>
    <row r="19" spans="2:23" ht="12.75" customHeight="1">
      <c r="B19" s="182"/>
      <c r="C19" s="183"/>
      <c r="D19" s="119" t="s">
        <v>126</v>
      </c>
      <c r="E19" s="184"/>
      <c r="F19" s="184"/>
      <c r="G19" s="184"/>
      <c r="H19" s="101"/>
      <c r="I19" s="110">
        <f>17.9*0.75</f>
        <v>13.424999999999999</v>
      </c>
      <c r="J19" s="109" t="s">
        <v>310</v>
      </c>
      <c r="K19" s="202"/>
      <c r="L19" s="111" t="s">
        <v>317</v>
      </c>
      <c r="M19" s="105"/>
      <c r="N19" s="217"/>
      <c r="O19" s="217"/>
      <c r="P19" s="119" t="s">
        <v>126</v>
      </c>
      <c r="Q19" s="220"/>
      <c r="R19" s="220"/>
      <c r="S19" s="220"/>
      <c r="T19" s="110">
        <f>17.9*0.75</f>
        <v>13.424999999999999</v>
      </c>
      <c r="U19" s="109" t="s">
        <v>310</v>
      </c>
      <c r="V19" s="105"/>
      <c r="W19" s="111" t="s">
        <v>317</v>
      </c>
    </row>
    <row r="20" spans="2:23" ht="12.75" customHeight="1">
      <c r="B20" s="182"/>
      <c r="C20" s="183"/>
      <c r="D20" s="109" t="s">
        <v>134</v>
      </c>
      <c r="E20" s="184"/>
      <c r="F20" s="184"/>
      <c r="G20" s="184"/>
      <c r="H20" s="101"/>
      <c r="I20" s="110">
        <f>8.5*0.75</f>
        <v>6.375</v>
      </c>
      <c r="J20" s="109" t="s">
        <v>310</v>
      </c>
      <c r="K20" s="202"/>
      <c r="L20" s="111"/>
      <c r="M20" s="105"/>
      <c r="N20" s="217"/>
      <c r="O20" s="217"/>
      <c r="P20" s="109" t="s">
        <v>134</v>
      </c>
      <c r="Q20" s="220"/>
      <c r="R20" s="220"/>
      <c r="S20" s="220"/>
      <c r="T20" s="110">
        <f>8.5*0.75</f>
        <v>6.375</v>
      </c>
      <c r="U20" s="109" t="s">
        <v>310</v>
      </c>
      <c r="V20" s="105"/>
      <c r="W20" s="111"/>
    </row>
    <row r="21" spans="2:23" ht="12.75" customHeight="1">
      <c r="B21" s="182"/>
      <c r="C21" s="183"/>
      <c r="D21" s="109" t="s">
        <v>92</v>
      </c>
      <c r="E21" s="184"/>
      <c r="F21" s="184"/>
      <c r="G21" s="184"/>
      <c r="H21" s="101"/>
      <c r="I21" s="110">
        <f>58.8*0.75</f>
        <v>44.099999999999994</v>
      </c>
      <c r="J21" s="109" t="s">
        <v>310</v>
      </c>
      <c r="K21" s="202"/>
      <c r="L21" s="111"/>
      <c r="M21" s="105"/>
      <c r="N21" s="217"/>
      <c r="O21" s="217"/>
      <c r="P21" s="109" t="s">
        <v>92</v>
      </c>
      <c r="Q21" s="220"/>
      <c r="R21" s="220"/>
      <c r="S21" s="220"/>
      <c r="T21" s="110">
        <f>58.8*0.75</f>
        <v>44.099999999999994</v>
      </c>
      <c r="U21" s="109" t="s">
        <v>310</v>
      </c>
      <c r="V21" s="105"/>
      <c r="W21" s="111"/>
    </row>
    <row r="22" spans="2:23" ht="12.75" customHeight="1">
      <c r="B22" s="182"/>
      <c r="C22" s="183"/>
      <c r="D22" s="113" t="s">
        <v>137</v>
      </c>
      <c r="E22" s="184"/>
      <c r="F22" s="184"/>
      <c r="G22" s="184"/>
      <c r="H22" s="101"/>
      <c r="I22" s="114">
        <f>1*0.75</f>
        <v>0.75</v>
      </c>
      <c r="J22" s="113" t="s">
        <v>310</v>
      </c>
      <c r="K22" s="203"/>
      <c r="L22" s="115"/>
      <c r="M22" s="105"/>
      <c r="N22" s="218"/>
      <c r="O22" s="218"/>
      <c r="P22" s="113" t="s">
        <v>137</v>
      </c>
      <c r="Q22" s="221"/>
      <c r="R22" s="221"/>
      <c r="S22" s="221"/>
      <c r="T22" s="114">
        <f>1*0.75</f>
        <v>0.75</v>
      </c>
      <c r="U22" s="113" t="s">
        <v>310</v>
      </c>
      <c r="V22" s="117"/>
      <c r="W22" s="115"/>
    </row>
    <row r="23" spans="2:23" ht="12.75" customHeight="1">
      <c r="B23" s="181">
        <v>5</v>
      </c>
      <c r="C23" s="183" t="s">
        <v>318</v>
      </c>
      <c r="D23" s="120" t="s">
        <v>145</v>
      </c>
      <c r="E23" s="184" t="s">
        <v>319</v>
      </c>
      <c r="F23" s="184" t="s">
        <v>320</v>
      </c>
      <c r="G23" s="184" t="s">
        <v>321</v>
      </c>
      <c r="H23" s="101"/>
      <c r="I23" s="102">
        <f>381*0.75</f>
        <v>285.75</v>
      </c>
      <c r="J23" s="107" t="s">
        <v>316</v>
      </c>
      <c r="K23" s="201" t="s">
        <v>43</v>
      </c>
      <c r="L23" s="104" t="s">
        <v>38</v>
      </c>
      <c r="M23" s="105"/>
      <c r="N23" s="216">
        <v>19</v>
      </c>
      <c r="O23" s="216" t="s">
        <v>318</v>
      </c>
      <c r="P23" s="120" t="s">
        <v>145</v>
      </c>
      <c r="Q23" s="219" t="s">
        <v>319</v>
      </c>
      <c r="R23" s="219" t="s">
        <v>320</v>
      </c>
      <c r="S23" s="219" t="s">
        <v>321</v>
      </c>
      <c r="T23" s="102">
        <f>381*0.75</f>
        <v>285.75</v>
      </c>
      <c r="U23" s="107" t="s">
        <v>316</v>
      </c>
      <c r="V23" s="108" t="s">
        <v>43</v>
      </c>
      <c r="W23" s="104" t="s">
        <v>38</v>
      </c>
    </row>
    <row r="24" spans="2:23" ht="12.75" customHeight="1">
      <c r="B24" s="182"/>
      <c r="C24" s="183"/>
      <c r="D24" s="109" t="s">
        <v>150</v>
      </c>
      <c r="E24" s="184"/>
      <c r="F24" s="184"/>
      <c r="G24" s="184"/>
      <c r="H24" s="101"/>
      <c r="I24" s="110">
        <f>14.5*0.75</f>
        <v>10.875</v>
      </c>
      <c r="J24" s="109" t="s">
        <v>310</v>
      </c>
      <c r="K24" s="202"/>
      <c r="L24" s="111" t="s">
        <v>322</v>
      </c>
      <c r="M24" s="105"/>
      <c r="N24" s="217"/>
      <c r="O24" s="217"/>
      <c r="P24" s="109" t="s">
        <v>150</v>
      </c>
      <c r="Q24" s="220"/>
      <c r="R24" s="220"/>
      <c r="S24" s="220"/>
      <c r="T24" s="110">
        <f>14.5*0.75</f>
        <v>10.875</v>
      </c>
      <c r="U24" s="109" t="s">
        <v>310</v>
      </c>
      <c r="V24" s="105"/>
      <c r="W24" s="111" t="s">
        <v>322</v>
      </c>
    </row>
    <row r="25" spans="2:23" ht="12.75" customHeight="1">
      <c r="B25" s="182"/>
      <c r="C25" s="183"/>
      <c r="D25" s="109" t="s">
        <v>154</v>
      </c>
      <c r="E25" s="184"/>
      <c r="F25" s="184"/>
      <c r="G25" s="184"/>
      <c r="H25" s="101"/>
      <c r="I25" s="110">
        <f>14.5*0.75</f>
        <v>10.875</v>
      </c>
      <c r="J25" s="109" t="s">
        <v>310</v>
      </c>
      <c r="K25" s="202"/>
      <c r="L25" s="111"/>
      <c r="M25" s="105"/>
      <c r="N25" s="217"/>
      <c r="O25" s="217"/>
      <c r="P25" s="109" t="s">
        <v>154</v>
      </c>
      <c r="Q25" s="220"/>
      <c r="R25" s="220"/>
      <c r="S25" s="220"/>
      <c r="T25" s="110">
        <f>14.5*0.75</f>
        <v>10.875</v>
      </c>
      <c r="U25" s="109" t="s">
        <v>310</v>
      </c>
      <c r="V25" s="105"/>
      <c r="W25" s="111"/>
    </row>
    <row r="26" spans="2:23" ht="12.75" customHeight="1">
      <c r="B26" s="182"/>
      <c r="C26" s="183"/>
      <c r="D26" s="109"/>
      <c r="E26" s="184"/>
      <c r="F26" s="184"/>
      <c r="G26" s="184"/>
      <c r="H26" s="101"/>
      <c r="I26" s="110">
        <f>45.8*0.75</f>
        <v>34.349999999999994</v>
      </c>
      <c r="J26" s="109" t="s">
        <v>310</v>
      </c>
      <c r="K26" s="202"/>
      <c r="L26" s="111"/>
      <c r="M26" s="105"/>
      <c r="N26" s="217"/>
      <c r="O26" s="217"/>
      <c r="P26" s="109"/>
      <c r="Q26" s="220"/>
      <c r="R26" s="220"/>
      <c r="S26" s="220"/>
      <c r="T26" s="110">
        <f>45.8*0.75</f>
        <v>34.349999999999994</v>
      </c>
      <c r="U26" s="109" t="s">
        <v>310</v>
      </c>
      <c r="V26" s="105"/>
      <c r="W26" s="111"/>
    </row>
    <row r="27" spans="2:23" ht="12.75" customHeight="1">
      <c r="B27" s="182"/>
      <c r="C27" s="183"/>
      <c r="D27" s="113"/>
      <c r="E27" s="184"/>
      <c r="F27" s="184"/>
      <c r="G27" s="184"/>
      <c r="H27" s="101"/>
      <c r="I27" s="114">
        <f>1*0.75</f>
        <v>0.75</v>
      </c>
      <c r="J27" s="113" t="s">
        <v>310</v>
      </c>
      <c r="K27" s="203"/>
      <c r="L27" s="115"/>
      <c r="M27" s="105"/>
      <c r="N27" s="218"/>
      <c r="O27" s="218"/>
      <c r="P27" s="113"/>
      <c r="Q27" s="221"/>
      <c r="R27" s="221"/>
      <c r="S27" s="221"/>
      <c r="T27" s="114">
        <f>1*0.75</f>
        <v>0.75</v>
      </c>
      <c r="U27" s="113" t="s">
        <v>310</v>
      </c>
      <c r="V27" s="117"/>
      <c r="W27" s="115"/>
    </row>
    <row r="28" spans="2:23" ht="12.75" customHeight="1">
      <c r="B28" s="224">
        <v>6</v>
      </c>
      <c r="C28" s="183" t="s">
        <v>323</v>
      </c>
      <c r="D28" s="103" t="s">
        <v>53</v>
      </c>
      <c r="E28" s="184" t="s">
        <v>324</v>
      </c>
      <c r="F28" s="184" t="s">
        <v>325</v>
      </c>
      <c r="G28" s="184" t="s">
        <v>326</v>
      </c>
      <c r="H28" s="101"/>
      <c r="I28" s="102">
        <f>348*0.75</f>
        <v>261</v>
      </c>
      <c r="J28" s="107" t="s">
        <v>327</v>
      </c>
      <c r="K28" s="201" t="s">
        <v>51</v>
      </c>
      <c r="L28" s="104" t="s">
        <v>38</v>
      </c>
      <c r="M28" s="105"/>
      <c r="N28" s="227" t="s">
        <v>328</v>
      </c>
      <c r="O28" s="229" t="s">
        <v>329</v>
      </c>
      <c r="P28" s="103" t="s">
        <v>53</v>
      </c>
      <c r="Q28" s="219" t="s">
        <v>330</v>
      </c>
      <c r="R28" s="219" t="s">
        <v>331</v>
      </c>
      <c r="S28" s="219" t="s">
        <v>332</v>
      </c>
      <c r="T28" s="102">
        <f>373*0.75</f>
        <v>279.75</v>
      </c>
      <c r="U28" s="107" t="s">
        <v>327</v>
      </c>
      <c r="V28" s="108" t="s">
        <v>51</v>
      </c>
      <c r="W28" s="104" t="s">
        <v>38</v>
      </c>
    </row>
    <row r="29" spans="2:23" ht="12.75" customHeight="1">
      <c r="B29" s="222"/>
      <c r="C29" s="183"/>
      <c r="D29" s="119" t="s">
        <v>165</v>
      </c>
      <c r="E29" s="184"/>
      <c r="F29" s="184"/>
      <c r="G29" s="184"/>
      <c r="H29" s="101"/>
      <c r="I29" s="110">
        <f>11.7*0.75</f>
        <v>8.7749999999999986</v>
      </c>
      <c r="J29" s="109" t="s">
        <v>333</v>
      </c>
      <c r="K29" s="202"/>
      <c r="L29" s="111" t="s">
        <v>334</v>
      </c>
      <c r="M29" s="105"/>
      <c r="N29" s="228"/>
      <c r="O29" s="229"/>
      <c r="P29" s="119" t="s">
        <v>165</v>
      </c>
      <c r="Q29" s="220"/>
      <c r="R29" s="220"/>
      <c r="S29" s="220"/>
      <c r="T29" s="110">
        <f>12.4*0.75</f>
        <v>9.3000000000000007</v>
      </c>
      <c r="U29" s="109" t="s">
        <v>333</v>
      </c>
      <c r="V29" s="105"/>
      <c r="W29" s="111" t="s">
        <v>335</v>
      </c>
    </row>
    <row r="30" spans="2:23" ht="12.75" customHeight="1">
      <c r="B30" s="222"/>
      <c r="C30" s="183"/>
      <c r="D30" s="109" t="s">
        <v>169</v>
      </c>
      <c r="E30" s="184"/>
      <c r="F30" s="184"/>
      <c r="G30" s="184"/>
      <c r="H30" s="101"/>
      <c r="I30" s="110">
        <f>6.4*0.75</f>
        <v>4.8000000000000007</v>
      </c>
      <c r="J30" s="109" t="s">
        <v>333</v>
      </c>
      <c r="K30" s="202"/>
      <c r="L30" s="111" t="s">
        <v>336</v>
      </c>
      <c r="M30" s="105"/>
      <c r="N30" s="228"/>
      <c r="O30" s="229"/>
      <c r="P30" s="109" t="s">
        <v>337</v>
      </c>
      <c r="Q30" s="220"/>
      <c r="R30" s="220"/>
      <c r="S30" s="220"/>
      <c r="T30" s="110">
        <f>4.5*0.75</f>
        <v>3.375</v>
      </c>
      <c r="U30" s="109" t="s">
        <v>333</v>
      </c>
      <c r="V30" s="105"/>
      <c r="W30" s="111" t="s">
        <v>336</v>
      </c>
    </row>
    <row r="31" spans="2:23" ht="12.75" customHeight="1">
      <c r="B31" s="222"/>
      <c r="C31" s="183"/>
      <c r="D31" s="109" t="s">
        <v>64</v>
      </c>
      <c r="E31" s="184"/>
      <c r="F31" s="184"/>
      <c r="G31" s="184"/>
      <c r="H31" s="101"/>
      <c r="I31" s="110">
        <f>58.7*0.75</f>
        <v>44.025000000000006</v>
      </c>
      <c r="J31" s="109" t="s">
        <v>333</v>
      </c>
      <c r="K31" s="202"/>
      <c r="L31" s="111"/>
      <c r="M31" s="105"/>
      <c r="N31" s="228"/>
      <c r="O31" s="229"/>
      <c r="P31" s="109" t="s">
        <v>64</v>
      </c>
      <c r="Q31" s="220"/>
      <c r="R31" s="220"/>
      <c r="S31" s="220"/>
      <c r="T31" s="110">
        <f>68.4*0.75</f>
        <v>51.300000000000004</v>
      </c>
      <c r="U31" s="109" t="s">
        <v>333</v>
      </c>
      <c r="V31" s="105"/>
      <c r="W31" s="111"/>
    </row>
    <row r="32" spans="2:23" ht="12.75" customHeight="1">
      <c r="B32" s="225"/>
      <c r="C32" s="226"/>
      <c r="D32" s="109" t="s">
        <v>139</v>
      </c>
      <c r="E32" s="219"/>
      <c r="F32" s="219"/>
      <c r="G32" s="219"/>
      <c r="H32" s="121"/>
      <c r="I32" s="110">
        <f>0.9*0.75</f>
        <v>0.67500000000000004</v>
      </c>
      <c r="J32" s="109" t="s">
        <v>333</v>
      </c>
      <c r="K32" s="202"/>
      <c r="L32" s="111"/>
      <c r="M32" s="105"/>
      <c r="N32" s="228"/>
      <c r="O32" s="230"/>
      <c r="P32" s="109" t="s">
        <v>139</v>
      </c>
      <c r="Q32" s="221"/>
      <c r="R32" s="221"/>
      <c r="S32" s="221"/>
      <c r="T32" s="110">
        <f>0.9*0.75</f>
        <v>0.67500000000000004</v>
      </c>
      <c r="U32" s="109" t="s">
        <v>333</v>
      </c>
      <c r="V32" s="105"/>
      <c r="W32" s="111"/>
    </row>
    <row r="33" spans="2:23" ht="12.75" customHeight="1">
      <c r="B33" s="122"/>
      <c r="C33" s="123"/>
      <c r="D33" s="124"/>
      <c r="E33" s="125"/>
      <c r="F33" s="125"/>
      <c r="G33" s="125"/>
      <c r="H33" s="126"/>
      <c r="I33" s="124"/>
      <c r="J33" s="127"/>
      <c r="K33" s="127"/>
      <c r="L33" s="128"/>
      <c r="M33" s="129"/>
      <c r="N33" s="122"/>
      <c r="O33" s="123"/>
      <c r="P33" s="124"/>
      <c r="Q33" s="125"/>
      <c r="R33" s="125"/>
      <c r="S33" s="125"/>
      <c r="T33" s="126"/>
      <c r="U33" s="124"/>
      <c r="V33" s="127"/>
      <c r="W33" s="128"/>
    </row>
    <row r="34" spans="2:23" ht="12.75" customHeight="1">
      <c r="B34" s="130"/>
      <c r="C34" s="131"/>
      <c r="D34" s="132"/>
      <c r="E34" s="133"/>
      <c r="F34" s="133"/>
      <c r="G34" s="133"/>
      <c r="H34" s="134"/>
      <c r="I34" s="132"/>
      <c r="J34" s="135"/>
      <c r="K34" s="135"/>
      <c r="L34" s="136"/>
      <c r="M34" s="129"/>
      <c r="N34" s="130"/>
      <c r="O34" s="131"/>
      <c r="P34" s="132"/>
      <c r="Q34" s="133"/>
      <c r="R34" s="133"/>
      <c r="S34" s="133"/>
      <c r="T34" s="134"/>
      <c r="U34" s="132"/>
      <c r="V34" s="135"/>
      <c r="W34" s="136"/>
    </row>
    <row r="35" spans="2:23" ht="12.75" customHeight="1">
      <c r="B35" s="218">
        <v>9</v>
      </c>
      <c r="C35" s="223" t="s">
        <v>292</v>
      </c>
      <c r="D35" s="109" t="s">
        <v>53</v>
      </c>
      <c r="E35" s="221" t="s">
        <v>338</v>
      </c>
      <c r="F35" s="221" t="s">
        <v>339</v>
      </c>
      <c r="G35" s="221" t="s">
        <v>340</v>
      </c>
      <c r="H35" s="137"/>
      <c r="I35" s="138">
        <f>393*0.75</f>
        <v>294.75</v>
      </c>
      <c r="J35" s="139" t="s">
        <v>327</v>
      </c>
      <c r="K35" s="202" t="s">
        <v>43</v>
      </c>
      <c r="L35" s="111" t="s">
        <v>38</v>
      </c>
      <c r="M35" s="105"/>
      <c r="N35" s="217">
        <v>23</v>
      </c>
      <c r="O35" s="217" t="s">
        <v>292</v>
      </c>
      <c r="P35" s="109" t="s">
        <v>53</v>
      </c>
      <c r="Q35" s="219" t="s">
        <v>341</v>
      </c>
      <c r="R35" s="219" t="s">
        <v>339</v>
      </c>
      <c r="S35" s="219" t="s">
        <v>340</v>
      </c>
      <c r="T35" s="138">
        <f>393*0.75</f>
        <v>294.75</v>
      </c>
      <c r="U35" s="139" t="s">
        <v>342</v>
      </c>
      <c r="V35" s="105" t="s">
        <v>43</v>
      </c>
      <c r="W35" s="111" t="s">
        <v>38</v>
      </c>
    </row>
    <row r="36" spans="2:23" ht="12.75" customHeight="1">
      <c r="B36" s="222"/>
      <c r="C36" s="183"/>
      <c r="D36" s="119" t="s">
        <v>176</v>
      </c>
      <c r="E36" s="184"/>
      <c r="F36" s="184"/>
      <c r="G36" s="184"/>
      <c r="H36" s="101"/>
      <c r="I36" s="110">
        <f>17.7*0.75</f>
        <v>13.274999999999999</v>
      </c>
      <c r="J36" s="109" t="s">
        <v>343</v>
      </c>
      <c r="K36" s="202"/>
      <c r="L36" s="111" t="s">
        <v>344</v>
      </c>
      <c r="M36" s="105"/>
      <c r="N36" s="217"/>
      <c r="O36" s="217"/>
      <c r="P36" s="119" t="s">
        <v>176</v>
      </c>
      <c r="Q36" s="220"/>
      <c r="R36" s="220"/>
      <c r="S36" s="220"/>
      <c r="T36" s="110">
        <f>17.7*0.75</f>
        <v>13.274999999999999</v>
      </c>
      <c r="U36" s="109" t="s">
        <v>343</v>
      </c>
      <c r="V36" s="105"/>
      <c r="W36" s="111" t="s">
        <v>344</v>
      </c>
    </row>
    <row r="37" spans="2:23" ht="12.75" customHeight="1">
      <c r="B37" s="222"/>
      <c r="C37" s="183"/>
      <c r="D37" s="109" t="s">
        <v>182</v>
      </c>
      <c r="E37" s="184"/>
      <c r="F37" s="184"/>
      <c r="G37" s="184"/>
      <c r="H37" s="101"/>
      <c r="I37" s="110">
        <f>9.6*0.75</f>
        <v>7.1999999999999993</v>
      </c>
      <c r="J37" s="109" t="s">
        <v>343</v>
      </c>
      <c r="K37" s="202"/>
      <c r="L37" s="111"/>
      <c r="M37" s="105"/>
      <c r="N37" s="217"/>
      <c r="O37" s="217"/>
      <c r="P37" s="109" t="s">
        <v>182</v>
      </c>
      <c r="Q37" s="220"/>
      <c r="R37" s="220"/>
      <c r="S37" s="220"/>
      <c r="T37" s="110">
        <f>9.6*0.75</f>
        <v>7.1999999999999993</v>
      </c>
      <c r="U37" s="109" t="s">
        <v>343</v>
      </c>
      <c r="V37" s="105"/>
      <c r="W37" s="111"/>
    </row>
    <row r="38" spans="2:23" ht="12.75" customHeight="1">
      <c r="B38" s="222"/>
      <c r="C38" s="183"/>
      <c r="D38" s="109" t="s">
        <v>92</v>
      </c>
      <c r="E38" s="184"/>
      <c r="F38" s="184"/>
      <c r="G38" s="184"/>
      <c r="H38" s="101"/>
      <c r="I38" s="110">
        <f>56.5*0.75</f>
        <v>42.375</v>
      </c>
      <c r="J38" s="109" t="s">
        <v>343</v>
      </c>
      <c r="K38" s="202"/>
      <c r="L38" s="111"/>
      <c r="M38" s="105"/>
      <c r="N38" s="217"/>
      <c r="O38" s="217"/>
      <c r="P38" s="109" t="s">
        <v>92</v>
      </c>
      <c r="Q38" s="220"/>
      <c r="R38" s="220"/>
      <c r="S38" s="220"/>
      <c r="T38" s="110">
        <f>56.5*0.75</f>
        <v>42.375</v>
      </c>
      <c r="U38" s="109" t="s">
        <v>343</v>
      </c>
      <c r="V38" s="105"/>
      <c r="W38" s="111"/>
    </row>
    <row r="39" spans="2:23" ht="12.75" customHeight="1">
      <c r="B39" s="222"/>
      <c r="C39" s="183"/>
      <c r="D39" s="113" t="s">
        <v>34</v>
      </c>
      <c r="E39" s="184"/>
      <c r="F39" s="184"/>
      <c r="G39" s="184"/>
      <c r="H39" s="101"/>
      <c r="I39" s="114">
        <f>1.4*0.75</f>
        <v>1.0499999999999998</v>
      </c>
      <c r="J39" s="113" t="s">
        <v>343</v>
      </c>
      <c r="K39" s="203"/>
      <c r="L39" s="115"/>
      <c r="M39" s="105"/>
      <c r="N39" s="218"/>
      <c r="O39" s="218"/>
      <c r="P39" s="113" t="s">
        <v>34</v>
      </c>
      <c r="Q39" s="221"/>
      <c r="R39" s="221"/>
      <c r="S39" s="221"/>
      <c r="T39" s="114">
        <f>1.4*0.75</f>
        <v>1.0499999999999998</v>
      </c>
      <c r="U39" s="113" t="s">
        <v>343</v>
      </c>
      <c r="V39" s="117"/>
      <c r="W39" s="115"/>
    </row>
    <row r="40" spans="2:23" ht="12.75" customHeight="1">
      <c r="B40" s="224">
        <v>10</v>
      </c>
      <c r="C40" s="183" t="s">
        <v>303</v>
      </c>
      <c r="D40" s="103" t="s">
        <v>53</v>
      </c>
      <c r="E40" s="184" t="s">
        <v>345</v>
      </c>
      <c r="F40" s="184" t="s">
        <v>346</v>
      </c>
      <c r="G40" s="184" t="s">
        <v>347</v>
      </c>
      <c r="H40" s="101"/>
      <c r="I40" s="102">
        <f>445*0.75</f>
        <v>333.75</v>
      </c>
      <c r="J40" s="107" t="s">
        <v>327</v>
      </c>
      <c r="K40" s="201" t="s">
        <v>51</v>
      </c>
      <c r="L40" s="104" t="s">
        <v>38</v>
      </c>
      <c r="M40" s="105"/>
      <c r="N40" s="216">
        <v>24</v>
      </c>
      <c r="O40" s="216" t="s">
        <v>303</v>
      </c>
      <c r="P40" s="103" t="s">
        <v>53</v>
      </c>
      <c r="Q40" s="219" t="s">
        <v>348</v>
      </c>
      <c r="R40" s="219" t="s">
        <v>346</v>
      </c>
      <c r="S40" s="219" t="s">
        <v>347</v>
      </c>
      <c r="T40" s="102">
        <f>445*0.75</f>
        <v>333.75</v>
      </c>
      <c r="U40" s="107" t="s">
        <v>299</v>
      </c>
      <c r="V40" s="108" t="s">
        <v>51</v>
      </c>
      <c r="W40" s="104" t="s">
        <v>38</v>
      </c>
    </row>
    <row r="41" spans="2:23" ht="12.75" customHeight="1">
      <c r="B41" s="222"/>
      <c r="C41" s="183"/>
      <c r="D41" s="140" t="s">
        <v>186</v>
      </c>
      <c r="E41" s="184"/>
      <c r="F41" s="184"/>
      <c r="G41" s="184"/>
      <c r="H41" s="101"/>
      <c r="I41" s="110">
        <f>12.4*0.75</f>
        <v>9.3000000000000007</v>
      </c>
      <c r="J41" s="109" t="s">
        <v>349</v>
      </c>
      <c r="K41" s="202"/>
      <c r="L41" s="111" t="s">
        <v>350</v>
      </c>
      <c r="M41" s="105"/>
      <c r="N41" s="217"/>
      <c r="O41" s="217"/>
      <c r="P41" s="140" t="s">
        <v>186</v>
      </c>
      <c r="Q41" s="220"/>
      <c r="R41" s="220"/>
      <c r="S41" s="220"/>
      <c r="T41" s="110">
        <f>12.4*0.75</f>
        <v>9.3000000000000007</v>
      </c>
      <c r="U41" s="109" t="s">
        <v>349</v>
      </c>
      <c r="V41" s="105"/>
      <c r="W41" s="111" t="s">
        <v>350</v>
      </c>
    </row>
    <row r="42" spans="2:23" ht="12.75" customHeight="1">
      <c r="B42" s="222"/>
      <c r="C42" s="183"/>
      <c r="D42" s="109" t="s">
        <v>190</v>
      </c>
      <c r="E42" s="184"/>
      <c r="F42" s="184"/>
      <c r="G42" s="184"/>
      <c r="H42" s="101"/>
      <c r="I42" s="110">
        <f>13.2*0.75</f>
        <v>9.8999999999999986</v>
      </c>
      <c r="J42" s="109" t="s">
        <v>349</v>
      </c>
      <c r="K42" s="202"/>
      <c r="L42" s="111"/>
      <c r="M42" s="105"/>
      <c r="N42" s="217"/>
      <c r="O42" s="217"/>
      <c r="P42" s="109" t="s">
        <v>190</v>
      </c>
      <c r="Q42" s="220"/>
      <c r="R42" s="220"/>
      <c r="S42" s="220"/>
      <c r="T42" s="110">
        <f>13.2*0.75</f>
        <v>9.8999999999999986</v>
      </c>
      <c r="U42" s="109" t="s">
        <v>349</v>
      </c>
      <c r="V42" s="105"/>
      <c r="W42" s="111"/>
    </row>
    <row r="43" spans="2:23" ht="12.75" customHeight="1">
      <c r="B43" s="222"/>
      <c r="C43" s="183"/>
      <c r="D43" s="109" t="s">
        <v>92</v>
      </c>
      <c r="E43" s="184"/>
      <c r="F43" s="184"/>
      <c r="G43" s="184"/>
      <c r="H43" s="101"/>
      <c r="I43" s="110">
        <f>68.2*0.75</f>
        <v>51.150000000000006</v>
      </c>
      <c r="J43" s="109" t="s">
        <v>349</v>
      </c>
      <c r="K43" s="202"/>
      <c r="L43" s="111"/>
      <c r="M43" s="105"/>
      <c r="N43" s="217"/>
      <c r="O43" s="217"/>
      <c r="P43" s="109" t="s">
        <v>92</v>
      </c>
      <c r="Q43" s="220"/>
      <c r="R43" s="220"/>
      <c r="S43" s="220"/>
      <c r="T43" s="110">
        <f>68.2*0.75</f>
        <v>51.150000000000006</v>
      </c>
      <c r="U43" s="109" t="s">
        <v>349</v>
      </c>
      <c r="V43" s="105"/>
      <c r="W43" s="111"/>
    </row>
    <row r="44" spans="2:23" ht="12.75" customHeight="1">
      <c r="B44" s="222"/>
      <c r="C44" s="183"/>
      <c r="D44" s="113"/>
      <c r="E44" s="184"/>
      <c r="F44" s="184"/>
      <c r="G44" s="184"/>
      <c r="H44" s="101"/>
      <c r="I44" s="114">
        <f>0.9*0.75</f>
        <v>0.67500000000000004</v>
      </c>
      <c r="J44" s="113" t="s">
        <v>349</v>
      </c>
      <c r="K44" s="203"/>
      <c r="L44" s="115"/>
      <c r="M44" s="105"/>
      <c r="N44" s="218"/>
      <c r="O44" s="218"/>
      <c r="P44" s="113"/>
      <c r="Q44" s="221"/>
      <c r="R44" s="221"/>
      <c r="S44" s="221"/>
      <c r="T44" s="114">
        <f>0.9*0.75</f>
        <v>0.67500000000000004</v>
      </c>
      <c r="U44" s="113" t="s">
        <v>349</v>
      </c>
      <c r="V44" s="117"/>
      <c r="W44" s="115"/>
    </row>
    <row r="45" spans="2:23" ht="12.75" customHeight="1">
      <c r="B45" s="231" t="s">
        <v>351</v>
      </c>
      <c r="C45" s="229" t="s">
        <v>329</v>
      </c>
      <c r="D45" s="141" t="s">
        <v>194</v>
      </c>
      <c r="E45" s="184" t="s">
        <v>352</v>
      </c>
      <c r="F45" s="184" t="s">
        <v>353</v>
      </c>
      <c r="G45" s="184" t="s">
        <v>354</v>
      </c>
      <c r="H45" s="101"/>
      <c r="I45" s="102">
        <f>379*0.75</f>
        <v>284.25</v>
      </c>
      <c r="J45" s="107" t="s">
        <v>355</v>
      </c>
      <c r="K45" s="201" t="s">
        <v>43</v>
      </c>
      <c r="L45" s="104" t="s">
        <v>38</v>
      </c>
      <c r="M45" s="105"/>
      <c r="N45" s="227" t="s">
        <v>356</v>
      </c>
      <c r="O45" s="229" t="s">
        <v>329</v>
      </c>
      <c r="P45" s="141" t="s">
        <v>357</v>
      </c>
      <c r="Q45" s="219" t="s">
        <v>358</v>
      </c>
      <c r="R45" s="219" t="s">
        <v>359</v>
      </c>
      <c r="S45" s="219" t="s">
        <v>360</v>
      </c>
      <c r="T45" s="102">
        <f>453*0.75</f>
        <v>339.75</v>
      </c>
      <c r="U45" s="107" t="s">
        <v>327</v>
      </c>
      <c r="V45" s="108" t="s">
        <v>43</v>
      </c>
      <c r="W45" s="104" t="s">
        <v>38</v>
      </c>
    </row>
    <row r="46" spans="2:23" ht="12.75" customHeight="1">
      <c r="B46" s="232"/>
      <c r="C46" s="229"/>
      <c r="D46" s="118" t="s">
        <v>195</v>
      </c>
      <c r="E46" s="184"/>
      <c r="F46" s="184"/>
      <c r="G46" s="184"/>
      <c r="H46" s="101"/>
      <c r="I46" s="110">
        <f>12.7*0.75</f>
        <v>9.5249999999999986</v>
      </c>
      <c r="J46" s="109" t="s">
        <v>333</v>
      </c>
      <c r="K46" s="202"/>
      <c r="L46" s="111" t="s">
        <v>361</v>
      </c>
      <c r="M46" s="105"/>
      <c r="N46" s="228"/>
      <c r="O46" s="229"/>
      <c r="P46" s="118" t="s">
        <v>242</v>
      </c>
      <c r="Q46" s="220"/>
      <c r="R46" s="220"/>
      <c r="S46" s="220"/>
      <c r="T46" s="110">
        <f>13.2*0.75</f>
        <v>9.8999999999999986</v>
      </c>
      <c r="U46" s="109" t="s">
        <v>333</v>
      </c>
      <c r="V46" s="105"/>
      <c r="W46" s="111" t="s">
        <v>362</v>
      </c>
    </row>
    <row r="47" spans="2:23" ht="12.75" customHeight="1">
      <c r="B47" s="232"/>
      <c r="C47" s="229"/>
      <c r="D47" s="109" t="s">
        <v>199</v>
      </c>
      <c r="E47" s="184"/>
      <c r="F47" s="184"/>
      <c r="G47" s="184"/>
      <c r="H47" s="101"/>
      <c r="I47" s="110">
        <f>9.4*0.75</f>
        <v>7.0500000000000007</v>
      </c>
      <c r="J47" s="109" t="s">
        <v>333</v>
      </c>
      <c r="K47" s="202"/>
      <c r="L47" s="111"/>
      <c r="M47" s="105"/>
      <c r="N47" s="228"/>
      <c r="O47" s="229"/>
      <c r="P47" s="142" t="s">
        <v>249</v>
      </c>
      <c r="Q47" s="220"/>
      <c r="R47" s="220"/>
      <c r="S47" s="220"/>
      <c r="T47" s="110">
        <f>15.5*0.75</f>
        <v>11.625</v>
      </c>
      <c r="U47" s="109" t="s">
        <v>333</v>
      </c>
      <c r="V47" s="105"/>
      <c r="W47" s="111"/>
    </row>
    <row r="48" spans="2:23" ht="12.75" customHeight="1">
      <c r="B48" s="232"/>
      <c r="C48" s="229"/>
      <c r="D48" s="109" t="s">
        <v>137</v>
      </c>
      <c r="E48" s="184"/>
      <c r="F48" s="184"/>
      <c r="G48" s="184"/>
      <c r="H48" s="101"/>
      <c r="I48" s="110">
        <f>58.1*0.75</f>
        <v>43.575000000000003</v>
      </c>
      <c r="J48" s="109" t="s">
        <v>333</v>
      </c>
      <c r="K48" s="202"/>
      <c r="L48" s="111"/>
      <c r="M48" s="105"/>
      <c r="N48" s="228"/>
      <c r="O48" s="229"/>
      <c r="P48" s="109" t="s">
        <v>137</v>
      </c>
      <c r="Q48" s="220"/>
      <c r="R48" s="220"/>
      <c r="S48" s="220"/>
      <c r="T48" s="110">
        <f>62*0.75</f>
        <v>46.5</v>
      </c>
      <c r="U48" s="109" t="s">
        <v>343</v>
      </c>
      <c r="V48" s="105"/>
      <c r="W48" s="111"/>
    </row>
    <row r="49" spans="2:24" ht="12.75" customHeight="1">
      <c r="B49" s="232"/>
      <c r="C49" s="229"/>
      <c r="D49" s="113"/>
      <c r="E49" s="184"/>
      <c r="F49" s="184"/>
      <c r="G49" s="184"/>
      <c r="H49" s="101"/>
      <c r="I49" s="114">
        <f>0.8*0.75</f>
        <v>0.60000000000000009</v>
      </c>
      <c r="J49" s="113" t="s">
        <v>343</v>
      </c>
      <c r="K49" s="203"/>
      <c r="L49" s="115"/>
      <c r="M49" s="105"/>
      <c r="N49" s="233"/>
      <c r="O49" s="229"/>
      <c r="P49" s="113"/>
      <c r="Q49" s="221"/>
      <c r="R49" s="221"/>
      <c r="S49" s="221"/>
      <c r="T49" s="114">
        <f>1.3*0.75</f>
        <v>0.97500000000000009</v>
      </c>
      <c r="U49" s="113" t="s">
        <v>343</v>
      </c>
      <c r="V49" s="117"/>
      <c r="W49" s="115"/>
    </row>
    <row r="50" spans="2:24" ht="12.75" customHeight="1">
      <c r="B50" s="224">
        <v>12</v>
      </c>
      <c r="C50" s="183" t="s">
        <v>318</v>
      </c>
      <c r="D50" s="141" t="s">
        <v>96</v>
      </c>
      <c r="E50" s="184" t="s">
        <v>363</v>
      </c>
      <c r="F50" s="184" t="s">
        <v>364</v>
      </c>
      <c r="G50" s="184" t="s">
        <v>365</v>
      </c>
      <c r="H50" s="101"/>
      <c r="I50" s="102">
        <f>371*0.75</f>
        <v>278.25</v>
      </c>
      <c r="J50" s="107" t="s">
        <v>327</v>
      </c>
      <c r="K50" s="201" t="s">
        <v>366</v>
      </c>
      <c r="L50" s="104" t="s">
        <v>38</v>
      </c>
      <c r="M50" s="105"/>
      <c r="N50" s="216">
        <v>26</v>
      </c>
      <c r="O50" s="216" t="s">
        <v>318</v>
      </c>
      <c r="P50" s="103" t="s">
        <v>96</v>
      </c>
      <c r="Q50" s="219" t="s">
        <v>363</v>
      </c>
      <c r="R50" s="219" t="s">
        <v>367</v>
      </c>
      <c r="S50" s="219" t="s">
        <v>365</v>
      </c>
      <c r="T50" s="102">
        <f>371*0.75</f>
        <v>278.25</v>
      </c>
      <c r="U50" s="107" t="s">
        <v>299</v>
      </c>
      <c r="V50" s="108" t="s">
        <v>368</v>
      </c>
      <c r="W50" s="104" t="s">
        <v>38</v>
      </c>
    </row>
    <row r="51" spans="2:24" ht="12.75" customHeight="1">
      <c r="B51" s="222"/>
      <c r="C51" s="183"/>
      <c r="D51" s="119" t="s">
        <v>205</v>
      </c>
      <c r="E51" s="184"/>
      <c r="F51" s="184"/>
      <c r="G51" s="184"/>
      <c r="H51" s="101"/>
      <c r="I51" s="110">
        <f>13.6*0.75</f>
        <v>10.199999999999999</v>
      </c>
      <c r="J51" s="109" t="s">
        <v>300</v>
      </c>
      <c r="K51" s="202"/>
      <c r="L51" s="111" t="s">
        <v>369</v>
      </c>
      <c r="M51" s="105"/>
      <c r="N51" s="217"/>
      <c r="O51" s="217"/>
      <c r="P51" s="119" t="s">
        <v>205</v>
      </c>
      <c r="Q51" s="220"/>
      <c r="R51" s="220"/>
      <c r="S51" s="220"/>
      <c r="T51" s="110">
        <f>13.6*0.75</f>
        <v>10.199999999999999</v>
      </c>
      <c r="U51" s="109" t="s">
        <v>300</v>
      </c>
      <c r="V51" s="105"/>
      <c r="W51" s="111" t="s">
        <v>369</v>
      </c>
    </row>
    <row r="52" spans="2:24" ht="12.75" customHeight="1">
      <c r="B52" s="222"/>
      <c r="C52" s="183"/>
      <c r="D52" s="109" t="s">
        <v>208</v>
      </c>
      <c r="E52" s="184"/>
      <c r="F52" s="184"/>
      <c r="G52" s="184"/>
      <c r="H52" s="101"/>
      <c r="I52" s="110">
        <f>7.4*0.75</f>
        <v>5.5500000000000007</v>
      </c>
      <c r="J52" s="109" t="s">
        <v>300</v>
      </c>
      <c r="K52" s="202"/>
      <c r="L52" s="111"/>
      <c r="M52" s="105"/>
      <c r="N52" s="217"/>
      <c r="O52" s="217"/>
      <c r="P52" s="109" t="s">
        <v>208</v>
      </c>
      <c r="Q52" s="220"/>
      <c r="R52" s="220"/>
      <c r="S52" s="220"/>
      <c r="T52" s="110">
        <f>7.4*0.75</f>
        <v>5.5500000000000007</v>
      </c>
      <c r="U52" s="109" t="s">
        <v>300</v>
      </c>
      <c r="V52" s="105"/>
      <c r="W52" s="111"/>
    </row>
    <row r="53" spans="2:24" ht="12.75" customHeight="1">
      <c r="B53" s="222"/>
      <c r="C53" s="183"/>
      <c r="D53" s="109" t="s">
        <v>92</v>
      </c>
      <c r="E53" s="184"/>
      <c r="F53" s="184"/>
      <c r="G53" s="184"/>
      <c r="H53" s="101"/>
      <c r="I53" s="110">
        <f>61*0.75</f>
        <v>45.75</v>
      </c>
      <c r="J53" s="109" t="s">
        <v>349</v>
      </c>
      <c r="K53" s="202"/>
      <c r="L53" s="111"/>
      <c r="M53" s="105"/>
      <c r="N53" s="217"/>
      <c r="O53" s="217"/>
      <c r="P53" s="109" t="s">
        <v>92</v>
      </c>
      <c r="Q53" s="220"/>
      <c r="R53" s="220"/>
      <c r="S53" s="220"/>
      <c r="T53" s="110">
        <f>61*0.75</f>
        <v>45.75</v>
      </c>
      <c r="U53" s="109" t="s">
        <v>349</v>
      </c>
      <c r="V53" s="105"/>
      <c r="W53" s="111"/>
    </row>
    <row r="54" spans="2:24" ht="12.75" customHeight="1">
      <c r="B54" s="222"/>
      <c r="C54" s="183"/>
      <c r="D54" s="113" t="s">
        <v>84</v>
      </c>
      <c r="E54" s="184"/>
      <c r="F54" s="184"/>
      <c r="G54" s="184"/>
      <c r="H54" s="101"/>
      <c r="I54" s="114">
        <f>1.1*0.75</f>
        <v>0.82500000000000007</v>
      </c>
      <c r="J54" s="113" t="s">
        <v>349</v>
      </c>
      <c r="K54" s="203"/>
      <c r="L54" s="115"/>
      <c r="M54" s="105"/>
      <c r="N54" s="218"/>
      <c r="O54" s="218"/>
      <c r="P54" s="113" t="s">
        <v>84</v>
      </c>
      <c r="Q54" s="221"/>
      <c r="R54" s="221"/>
      <c r="S54" s="221"/>
      <c r="T54" s="114">
        <f>1.1*0.75</f>
        <v>0.82500000000000007</v>
      </c>
      <c r="U54" s="113" t="s">
        <v>349</v>
      </c>
      <c r="V54" s="117"/>
      <c r="W54" s="115"/>
    </row>
    <row r="55" spans="2:24" ht="12.75" customHeight="1">
      <c r="B55" s="224">
        <v>13</v>
      </c>
      <c r="C55" s="183" t="s">
        <v>323</v>
      </c>
      <c r="D55" s="109" t="s">
        <v>53</v>
      </c>
      <c r="E55" s="184" t="s">
        <v>370</v>
      </c>
      <c r="F55" s="184" t="s">
        <v>371</v>
      </c>
      <c r="G55" s="184" t="s">
        <v>372</v>
      </c>
      <c r="H55" s="101"/>
      <c r="I55" s="102">
        <f>416*0.75</f>
        <v>312</v>
      </c>
      <c r="J55" s="107" t="s">
        <v>355</v>
      </c>
      <c r="K55" s="201" t="s">
        <v>373</v>
      </c>
      <c r="L55" s="104" t="s">
        <v>38</v>
      </c>
      <c r="M55" s="105"/>
      <c r="N55" s="216">
        <v>27</v>
      </c>
      <c r="O55" s="216" t="s">
        <v>323</v>
      </c>
      <c r="P55" s="109" t="s">
        <v>53</v>
      </c>
      <c r="Q55" s="219" t="s">
        <v>374</v>
      </c>
      <c r="R55" s="219" t="s">
        <v>371</v>
      </c>
      <c r="S55" s="219" t="s">
        <v>375</v>
      </c>
      <c r="T55" s="102">
        <f>419*0.75</f>
        <v>314.25</v>
      </c>
      <c r="U55" s="107" t="s">
        <v>376</v>
      </c>
      <c r="V55" s="108" t="s">
        <v>377</v>
      </c>
      <c r="W55" s="104" t="s">
        <v>38</v>
      </c>
    </row>
    <row r="56" spans="2:24" ht="12.75" customHeight="1">
      <c r="B56" s="222"/>
      <c r="C56" s="183"/>
      <c r="D56" s="143" t="s">
        <v>214</v>
      </c>
      <c r="E56" s="184"/>
      <c r="F56" s="184"/>
      <c r="G56" s="184"/>
      <c r="H56" s="101"/>
      <c r="I56" s="110">
        <f>15.4*0.75</f>
        <v>11.55</v>
      </c>
      <c r="J56" s="109" t="s">
        <v>378</v>
      </c>
      <c r="K56" s="202"/>
      <c r="L56" s="111" t="s">
        <v>379</v>
      </c>
      <c r="M56" s="105"/>
      <c r="N56" s="217"/>
      <c r="O56" s="217"/>
      <c r="P56" s="143" t="s">
        <v>214</v>
      </c>
      <c r="Q56" s="220"/>
      <c r="R56" s="220"/>
      <c r="S56" s="220"/>
      <c r="T56" s="110">
        <f>15.1*0.75</f>
        <v>11.324999999999999</v>
      </c>
      <c r="U56" s="109" t="s">
        <v>349</v>
      </c>
      <c r="V56" s="105"/>
      <c r="W56" s="111" t="s">
        <v>380</v>
      </c>
    </row>
    <row r="57" spans="2:24" ht="12.75" customHeight="1">
      <c r="B57" s="222"/>
      <c r="C57" s="183"/>
      <c r="D57" s="109" t="s">
        <v>219</v>
      </c>
      <c r="E57" s="184"/>
      <c r="F57" s="184"/>
      <c r="G57" s="184"/>
      <c r="H57" s="101"/>
      <c r="I57" s="110">
        <f>12.1*0.75</f>
        <v>9.0749999999999993</v>
      </c>
      <c r="J57" s="109" t="s">
        <v>349</v>
      </c>
      <c r="K57" s="202"/>
      <c r="L57" s="111" t="s">
        <v>381</v>
      </c>
      <c r="M57" s="105"/>
      <c r="N57" s="217"/>
      <c r="O57" s="217"/>
      <c r="P57" s="109" t="s">
        <v>219</v>
      </c>
      <c r="Q57" s="220"/>
      <c r="R57" s="220"/>
      <c r="S57" s="220"/>
      <c r="T57" s="110">
        <f>12.1*0.75</f>
        <v>9.0749999999999993</v>
      </c>
      <c r="U57" s="109" t="s">
        <v>349</v>
      </c>
      <c r="V57" s="105"/>
      <c r="W57" s="111" t="s">
        <v>382</v>
      </c>
    </row>
    <row r="58" spans="2:24" ht="12.75" customHeight="1">
      <c r="B58" s="222"/>
      <c r="C58" s="183"/>
      <c r="D58" s="109" t="s">
        <v>223</v>
      </c>
      <c r="E58" s="184"/>
      <c r="F58" s="184"/>
      <c r="G58" s="184"/>
      <c r="H58" s="101"/>
      <c r="I58" s="110">
        <f>59.1*0.75</f>
        <v>44.325000000000003</v>
      </c>
      <c r="J58" s="109" t="s">
        <v>349</v>
      </c>
      <c r="K58" s="202"/>
      <c r="L58" s="111"/>
      <c r="M58" s="105"/>
      <c r="N58" s="217"/>
      <c r="O58" s="217"/>
      <c r="P58" s="109" t="s">
        <v>223</v>
      </c>
      <c r="Q58" s="220"/>
      <c r="R58" s="220"/>
      <c r="S58" s="220"/>
      <c r="T58" s="110">
        <f>59.4*0.75</f>
        <v>44.55</v>
      </c>
      <c r="U58" s="109" t="s">
        <v>349</v>
      </c>
      <c r="V58" s="105"/>
      <c r="W58" s="111"/>
    </row>
    <row r="59" spans="2:24" ht="12.75" customHeight="1">
      <c r="B59" s="225"/>
      <c r="C59" s="226"/>
      <c r="D59" s="109" t="s">
        <v>139</v>
      </c>
      <c r="E59" s="219"/>
      <c r="F59" s="219"/>
      <c r="G59" s="219"/>
      <c r="H59" s="121"/>
      <c r="I59" s="110">
        <f>1.1*0.75</f>
        <v>0.82500000000000007</v>
      </c>
      <c r="J59" s="109" t="s">
        <v>349</v>
      </c>
      <c r="K59" s="202"/>
      <c r="L59" s="111"/>
      <c r="M59" s="105"/>
      <c r="N59" s="217"/>
      <c r="O59" s="217"/>
      <c r="P59" s="109" t="s">
        <v>67</v>
      </c>
      <c r="Q59" s="221"/>
      <c r="R59" s="221"/>
      <c r="S59" s="221"/>
      <c r="T59" s="110">
        <f>1.1*0.75</f>
        <v>0.82500000000000007</v>
      </c>
      <c r="U59" s="109" t="s">
        <v>349</v>
      </c>
      <c r="V59" s="105"/>
      <c r="W59" s="111"/>
    </row>
    <row r="60" spans="2:24" ht="12.75" customHeight="1">
      <c r="B60" s="122"/>
      <c r="C60" s="123"/>
      <c r="D60" s="124"/>
      <c r="E60" s="125"/>
      <c r="F60" s="125"/>
      <c r="G60" s="125"/>
      <c r="H60" s="126"/>
      <c r="I60" s="124"/>
      <c r="J60" s="127"/>
      <c r="K60" s="127"/>
      <c r="L60" s="128"/>
      <c r="M60" s="129"/>
      <c r="N60" s="122"/>
      <c r="O60" s="123"/>
      <c r="P60" s="124"/>
      <c r="Q60" s="125"/>
      <c r="R60" s="125"/>
      <c r="S60" s="125"/>
      <c r="T60" s="126"/>
      <c r="U60" s="124"/>
      <c r="V60" s="127"/>
      <c r="W60" s="128"/>
      <c r="X60" s="144"/>
    </row>
    <row r="61" spans="2:24" ht="12.75" customHeight="1">
      <c r="B61" s="130"/>
      <c r="C61" s="131"/>
      <c r="D61" s="132"/>
      <c r="E61" s="133"/>
      <c r="F61" s="133"/>
      <c r="G61" s="133"/>
      <c r="H61" s="134"/>
      <c r="I61" s="132"/>
      <c r="J61" s="135"/>
      <c r="K61" s="135"/>
      <c r="L61" s="136"/>
      <c r="M61" s="129"/>
      <c r="N61" s="130"/>
      <c r="O61" s="131"/>
      <c r="P61" s="132"/>
      <c r="Q61" s="133"/>
      <c r="R61" s="133"/>
      <c r="S61" s="133"/>
      <c r="T61" s="134"/>
      <c r="U61" s="132"/>
      <c r="V61" s="135"/>
      <c r="W61" s="136"/>
      <c r="X61" s="144"/>
    </row>
    <row r="62" spans="2:24" ht="12.75" customHeight="1">
      <c r="B62" s="218" t="s">
        <v>383</v>
      </c>
      <c r="C62" s="218"/>
      <c r="D62" s="145" t="s">
        <v>384</v>
      </c>
      <c r="E62" s="234" t="s">
        <v>385</v>
      </c>
      <c r="F62" s="235"/>
      <c r="G62" s="235"/>
      <c r="H62" s="235"/>
      <c r="I62" s="235"/>
      <c r="J62" s="235"/>
      <c r="K62" s="236"/>
      <c r="L62" s="129"/>
      <c r="M62" s="91"/>
      <c r="N62" s="237" t="s">
        <v>386</v>
      </c>
      <c r="O62" s="237"/>
      <c r="P62" s="237"/>
      <c r="Q62" s="237"/>
      <c r="R62" s="237"/>
      <c r="S62" s="237"/>
      <c r="T62" s="237"/>
      <c r="U62" s="237"/>
      <c r="V62" s="237"/>
    </row>
    <row r="63" spans="2:24" ht="12.75" customHeight="1">
      <c r="B63" s="224"/>
      <c r="C63" s="224"/>
      <c r="D63" s="146" t="s">
        <v>387</v>
      </c>
      <c r="E63" s="147" t="s">
        <v>388</v>
      </c>
      <c r="F63" s="147" t="s">
        <v>389</v>
      </c>
      <c r="G63" s="147" t="s">
        <v>390</v>
      </c>
      <c r="H63" s="147"/>
      <c r="I63" s="224" t="s">
        <v>391</v>
      </c>
      <c r="J63" s="224"/>
      <c r="K63" s="147" t="s">
        <v>392</v>
      </c>
      <c r="L63" s="129"/>
      <c r="M63" s="91"/>
      <c r="N63" s="148" t="s">
        <v>393</v>
      </c>
      <c r="O63" s="149"/>
      <c r="P63" s="150"/>
      <c r="Q63" s="150"/>
      <c r="R63" s="150"/>
      <c r="S63" s="150"/>
    </row>
    <row r="64" spans="2:24" ht="12.75" customHeight="1">
      <c r="B64" s="151" t="s">
        <v>394</v>
      </c>
      <c r="C64" s="152" t="s">
        <v>395</v>
      </c>
      <c r="D64" s="146" t="s">
        <v>396</v>
      </c>
      <c r="E64" s="153">
        <f>(12286*0.75)/31</f>
        <v>297.24193548387098</v>
      </c>
      <c r="F64" s="154">
        <f>(447.400000000001*0.75)/31</f>
        <v>10.824193548387122</v>
      </c>
      <c r="G64" s="154">
        <f>(328.4*0.75)/31</f>
        <v>7.9451612903225799</v>
      </c>
      <c r="H64" s="154"/>
      <c r="I64" s="238">
        <f>(1818.5*0.75)/31</f>
        <v>43.99596774193548</v>
      </c>
      <c r="J64" s="238"/>
      <c r="K64" s="154">
        <f>(38.4000000000001*0.75)/31</f>
        <v>0.92903225806451861</v>
      </c>
      <c r="L64" s="129"/>
      <c r="M64" s="91"/>
      <c r="N64" s="155" t="s">
        <v>397</v>
      </c>
      <c r="O64" s="156"/>
      <c r="P64" s="157"/>
      <c r="Q64" s="158"/>
      <c r="R64" s="158"/>
      <c r="S64" s="158"/>
    </row>
    <row r="65" spans="2:20" ht="12.75" customHeight="1">
      <c r="B65" s="159"/>
      <c r="C65" s="160"/>
      <c r="D65" s="161"/>
      <c r="E65" s="162"/>
      <c r="F65" s="163"/>
      <c r="G65" s="163"/>
      <c r="H65" s="163"/>
      <c r="I65" s="164"/>
      <c r="J65" s="165"/>
      <c r="L65" s="129"/>
      <c r="M65" s="91"/>
      <c r="N65" s="155" t="s">
        <v>398</v>
      </c>
      <c r="O65" s="156"/>
      <c r="P65" s="157"/>
      <c r="Q65" s="158"/>
      <c r="R65" s="158"/>
      <c r="S65" s="158"/>
    </row>
    <row r="66" spans="2:20" ht="12.75" customHeight="1">
      <c r="J66" s="165"/>
      <c r="K66" s="166"/>
      <c r="L66" s="129"/>
      <c r="M66" s="91"/>
      <c r="N66" s="167" t="s">
        <v>399</v>
      </c>
      <c r="O66" s="167"/>
      <c r="P66" s="167"/>
      <c r="Q66" s="167"/>
      <c r="R66" s="167"/>
      <c r="S66" s="167"/>
    </row>
    <row r="67" spans="2:20" ht="12.75" customHeight="1">
      <c r="K67" s="166"/>
      <c r="L67" s="129"/>
      <c r="M67" s="91"/>
      <c r="N67" s="167" t="s">
        <v>400</v>
      </c>
      <c r="O67" s="167"/>
      <c r="P67" s="167"/>
      <c r="Q67" s="167"/>
      <c r="R67" s="167"/>
      <c r="S67" s="167"/>
    </row>
    <row r="68" spans="2:20" ht="12.75" customHeight="1">
      <c r="L68" s="129"/>
      <c r="M68" s="91"/>
      <c r="N68" s="167" t="s">
        <v>401</v>
      </c>
      <c r="R68" s="90"/>
    </row>
    <row r="69" spans="2:20" ht="12.75" customHeight="1">
      <c r="L69" s="129"/>
      <c r="M69" s="91"/>
      <c r="N69" s="167" t="s">
        <v>402</v>
      </c>
    </row>
    <row r="70" spans="2:20" ht="12.75" customHeight="1">
      <c r="L70" s="129"/>
      <c r="M70" s="91"/>
    </row>
    <row r="71" spans="2:20" ht="12.75" customHeight="1">
      <c r="L71" s="129"/>
      <c r="M71" s="91"/>
    </row>
    <row r="72" spans="2:20" ht="12.75" customHeight="1">
      <c r="L72" s="165"/>
      <c r="M72" s="91"/>
      <c r="N72" s="89"/>
      <c r="S72" s="90"/>
      <c r="T72" s="89"/>
    </row>
    <row r="73" spans="2:20" ht="12.75" customHeight="1">
      <c r="L73" s="166"/>
      <c r="M73" s="91"/>
      <c r="N73" s="89"/>
      <c r="S73" s="90"/>
      <c r="T73" s="89"/>
    </row>
    <row r="74" spans="2:20" ht="12.75" customHeight="1">
      <c r="L74" s="166"/>
      <c r="M74" s="91"/>
      <c r="N74" s="89"/>
      <c r="S74" s="90"/>
      <c r="T74" s="89"/>
    </row>
    <row r="75" spans="2:20" ht="12.75" customHeight="1">
      <c r="M75" s="91"/>
      <c r="N75" s="89"/>
      <c r="S75" s="90"/>
      <c r="T75" s="89"/>
    </row>
    <row r="76" spans="2:20" ht="12.75" customHeight="1">
      <c r="M76" s="91"/>
      <c r="N76" s="89"/>
      <c r="S76" s="90"/>
      <c r="T76" s="89"/>
    </row>
    <row r="77" spans="2:20" ht="12.75" customHeight="1">
      <c r="L77" s="129"/>
      <c r="M77" s="91"/>
      <c r="N77" s="89"/>
      <c r="S77" s="90"/>
      <c r="T77" s="89"/>
    </row>
    <row r="78" spans="2:20">
      <c r="M78" s="91"/>
      <c r="N78" s="89"/>
      <c r="S78" s="90"/>
      <c r="T78" s="89"/>
    </row>
    <row r="79" spans="2:20">
      <c r="M79" s="91"/>
      <c r="N79" s="89"/>
      <c r="S79" s="90"/>
      <c r="T79" s="89"/>
    </row>
    <row r="80" spans="2:20">
      <c r="M80" s="91"/>
      <c r="N80" s="89"/>
      <c r="S80" s="90"/>
      <c r="T80" s="89"/>
    </row>
    <row r="81" spans="13:20">
      <c r="M81" s="91"/>
      <c r="N81" s="89"/>
      <c r="S81" s="90"/>
      <c r="T81" s="89"/>
    </row>
    <row r="82" spans="13:20">
      <c r="M82" s="91"/>
      <c r="N82" s="89"/>
      <c r="S82" s="90"/>
      <c r="T82" s="89"/>
    </row>
    <row r="83" spans="13:20">
      <c r="M83" s="91"/>
      <c r="N83" s="89"/>
      <c r="S83" s="90"/>
      <c r="T83" s="89"/>
    </row>
    <row r="84" spans="13:20">
      <c r="M84" s="91"/>
      <c r="N84" s="89"/>
      <c r="S84" s="90"/>
      <c r="T84" s="89"/>
    </row>
    <row r="85" spans="13:20">
      <c r="M85" s="91"/>
      <c r="N85" s="89"/>
      <c r="S85" s="90"/>
      <c r="T85" s="89"/>
    </row>
    <row r="86" spans="13:20">
      <c r="M86" s="91"/>
      <c r="N86" s="89"/>
      <c r="S86" s="90"/>
      <c r="T86" s="89"/>
    </row>
    <row r="87" spans="13:20">
      <c r="M87" s="91"/>
      <c r="N87" s="89"/>
      <c r="S87" s="90"/>
      <c r="T87" s="89"/>
    </row>
    <row r="88" spans="13:20">
      <c r="M88" s="91"/>
      <c r="N88" s="89"/>
      <c r="S88" s="90"/>
      <c r="T88" s="89"/>
    </row>
    <row r="89" spans="13:20">
      <c r="M89" s="91"/>
      <c r="N89" s="89"/>
      <c r="S89" s="90"/>
      <c r="T89" s="89"/>
    </row>
    <row r="90" spans="13:20">
      <c r="M90" s="91"/>
      <c r="N90" s="89"/>
      <c r="S90" s="90"/>
      <c r="T90" s="89"/>
    </row>
    <row r="91" spans="13:20">
      <c r="M91" s="91"/>
      <c r="N91" s="89"/>
      <c r="S91" s="90"/>
      <c r="T91" s="89"/>
    </row>
  </sheetData>
  <mergeCells count="135">
    <mergeCell ref="B62:C63"/>
    <mergeCell ref="E62:K62"/>
    <mergeCell ref="N62:V62"/>
    <mergeCell ref="I63:J63"/>
    <mergeCell ref="I64:J64"/>
    <mergeCell ref="K55:K59"/>
    <mergeCell ref="N55:N59"/>
    <mergeCell ref="O55:O59"/>
    <mergeCell ref="Q55:Q59"/>
    <mergeCell ref="R55:R59"/>
    <mergeCell ref="S55:S59"/>
    <mergeCell ref="K40:K44"/>
    <mergeCell ref="N50:N54"/>
    <mergeCell ref="O50:O54"/>
    <mergeCell ref="Q50:Q54"/>
    <mergeCell ref="R50:R54"/>
    <mergeCell ref="S50:S54"/>
    <mergeCell ref="B55:B59"/>
    <mergeCell ref="C55:C59"/>
    <mergeCell ref="E55:E59"/>
    <mergeCell ref="F55:F59"/>
    <mergeCell ref="G55:G59"/>
    <mergeCell ref="B50:B54"/>
    <mergeCell ref="C50:C54"/>
    <mergeCell ref="E50:E54"/>
    <mergeCell ref="F50:F54"/>
    <mergeCell ref="G50:G54"/>
    <mergeCell ref="K50:K54"/>
    <mergeCell ref="R28:R32"/>
    <mergeCell ref="S28:S32"/>
    <mergeCell ref="K28:K32"/>
    <mergeCell ref="B45:B49"/>
    <mergeCell ref="C45:C49"/>
    <mergeCell ref="E45:E49"/>
    <mergeCell ref="F45:F49"/>
    <mergeCell ref="G45:G49"/>
    <mergeCell ref="B40:B44"/>
    <mergeCell ref="C40:C44"/>
    <mergeCell ref="E40:E44"/>
    <mergeCell ref="F40:F44"/>
    <mergeCell ref="G40:G44"/>
    <mergeCell ref="K45:K49"/>
    <mergeCell ref="N45:N49"/>
    <mergeCell ref="O45:O49"/>
    <mergeCell ref="Q45:Q49"/>
    <mergeCell ref="R45:R49"/>
    <mergeCell ref="S45:S49"/>
    <mergeCell ref="N40:N44"/>
    <mergeCell ref="O40:O44"/>
    <mergeCell ref="Q40:Q44"/>
    <mergeCell ref="R40:R44"/>
    <mergeCell ref="S40:S44"/>
    <mergeCell ref="O18:O22"/>
    <mergeCell ref="Q18:Q22"/>
    <mergeCell ref="R18:R22"/>
    <mergeCell ref="S18:S22"/>
    <mergeCell ref="K18:K22"/>
    <mergeCell ref="B35:B39"/>
    <mergeCell ref="C35:C39"/>
    <mergeCell ref="E35:E39"/>
    <mergeCell ref="F35:F39"/>
    <mergeCell ref="G35:G39"/>
    <mergeCell ref="B28:B32"/>
    <mergeCell ref="C28:C32"/>
    <mergeCell ref="E28:E32"/>
    <mergeCell ref="F28:F32"/>
    <mergeCell ref="G28:G32"/>
    <mergeCell ref="K35:K39"/>
    <mergeCell ref="N35:N39"/>
    <mergeCell ref="O35:O39"/>
    <mergeCell ref="Q35:Q39"/>
    <mergeCell ref="R35:R39"/>
    <mergeCell ref="S35:S39"/>
    <mergeCell ref="N28:N32"/>
    <mergeCell ref="O28:O32"/>
    <mergeCell ref="Q28:Q32"/>
    <mergeCell ref="R13:R17"/>
    <mergeCell ref="S13:S17"/>
    <mergeCell ref="N8:N12"/>
    <mergeCell ref="O8:O12"/>
    <mergeCell ref="Q8:Q12"/>
    <mergeCell ref="R8:R12"/>
    <mergeCell ref="S8:S12"/>
    <mergeCell ref="B23:B27"/>
    <mergeCell ref="C23:C27"/>
    <mergeCell ref="E23:E27"/>
    <mergeCell ref="F23:F27"/>
    <mergeCell ref="G23:G27"/>
    <mergeCell ref="B18:B22"/>
    <mergeCell ref="C18:C22"/>
    <mergeCell ref="E18:E22"/>
    <mergeCell ref="F18:F22"/>
    <mergeCell ref="G18:G22"/>
    <mergeCell ref="K23:K27"/>
    <mergeCell ref="N23:N27"/>
    <mergeCell ref="O23:O27"/>
    <mergeCell ref="Q23:Q27"/>
    <mergeCell ref="R23:R27"/>
    <mergeCell ref="S23:S27"/>
    <mergeCell ref="N18:N22"/>
    <mergeCell ref="R4:R7"/>
    <mergeCell ref="S4:S7"/>
    <mergeCell ref="T4:U7"/>
    <mergeCell ref="W4:W7"/>
    <mergeCell ref="B8:B12"/>
    <mergeCell ref="C8:C12"/>
    <mergeCell ref="E8:E12"/>
    <mergeCell ref="F8:F12"/>
    <mergeCell ref="G8:G12"/>
    <mergeCell ref="K8:K12"/>
    <mergeCell ref="O3:O7"/>
    <mergeCell ref="Q3:S3"/>
    <mergeCell ref="T3:V3"/>
    <mergeCell ref="E4:E7"/>
    <mergeCell ref="F4:F7"/>
    <mergeCell ref="G4:H7"/>
    <mergeCell ref="I4:J7"/>
    <mergeCell ref="K4:K7"/>
    <mergeCell ref="L4:L7"/>
    <mergeCell ref="Q4:Q7"/>
    <mergeCell ref="B3:B7"/>
    <mergeCell ref="C3:C7"/>
    <mergeCell ref="D3:D7"/>
    <mergeCell ref="E3:G3"/>
    <mergeCell ref="I3:K3"/>
    <mergeCell ref="N3:N7"/>
    <mergeCell ref="B13:B17"/>
    <mergeCell ref="C13:C17"/>
    <mergeCell ref="E13:E17"/>
    <mergeCell ref="F13:F17"/>
    <mergeCell ref="G13:G17"/>
    <mergeCell ref="K13:K17"/>
    <mergeCell ref="N13:N17"/>
    <mergeCell ref="O13:O17"/>
    <mergeCell ref="Q13:Q17"/>
  </mergeCells>
  <phoneticPr fontId="21"/>
  <printOptions horizontalCentered="1" verticalCentered="1"/>
  <pageMargins left="0.19685039370078741" right="0.19685039370078741" top="0.59055118110236227" bottom="0" header="0.19685039370078741" footer="0.19685039370078741"/>
  <pageSetup paperSize="9" scale="57" fitToHeight="0" orientation="landscape" horizontalDpi="4294967293"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5"/>
  <sheetViews>
    <sheetView showZeros="0" zoomScale="60" zoomScaleNormal="60" zoomScaleSheetLayoutView="80" workbookViewId="0"/>
  </sheetViews>
  <sheetFormatPr defaultRowHeight="18.75" customHeight="1"/>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c r="A1" s="1" t="s">
        <v>12</v>
      </c>
      <c r="B1" s="1"/>
      <c r="C1" s="2"/>
      <c r="D1" s="3"/>
      <c r="E1" s="2"/>
      <c r="F1" s="2"/>
      <c r="G1" s="2"/>
      <c r="H1" s="239"/>
      <c r="I1" s="239"/>
      <c r="J1" s="240"/>
      <c r="K1" s="240"/>
      <c r="L1" s="240"/>
      <c r="M1" s="240"/>
      <c r="N1" s="240"/>
      <c r="O1" s="2"/>
      <c r="P1" s="2"/>
      <c r="Q1" s="4"/>
      <c r="R1" s="4"/>
      <c r="S1" s="3"/>
    </row>
    <row r="2" spans="1:19" ht="36.75" customHeight="1">
      <c r="A2" s="239" t="s">
        <v>0</v>
      </c>
      <c r="B2" s="239"/>
      <c r="C2" s="240"/>
      <c r="D2" s="240"/>
      <c r="E2" s="240"/>
      <c r="F2" s="240"/>
      <c r="G2" s="240"/>
      <c r="H2" s="240"/>
      <c r="I2" s="240"/>
      <c r="J2" s="240"/>
      <c r="K2" s="240"/>
      <c r="L2" s="240"/>
      <c r="M2" s="240"/>
      <c r="N2" s="240"/>
      <c r="O2" s="240"/>
      <c r="P2" s="240"/>
      <c r="Q2" s="240"/>
      <c r="R2" s="240"/>
      <c r="S2" s="3"/>
    </row>
    <row r="3" spans="1:19" ht="27.75" customHeight="1" thickBot="1">
      <c r="A3" s="241" t="s">
        <v>203</v>
      </c>
      <c r="B3" s="242"/>
      <c r="C3" s="242"/>
      <c r="D3" s="242"/>
      <c r="E3" s="242"/>
      <c r="F3" s="242"/>
      <c r="G3" s="2"/>
      <c r="H3" s="2"/>
      <c r="I3" s="12"/>
      <c r="J3" s="2"/>
      <c r="K3" s="7"/>
      <c r="L3" s="7"/>
      <c r="M3" s="10"/>
      <c r="N3" s="2"/>
      <c r="O3" s="13"/>
      <c r="P3" s="12"/>
      <c r="Q3" s="14"/>
      <c r="R3" s="14"/>
      <c r="S3" s="11"/>
    </row>
    <row r="4" spans="1:19" customFormat="1" ht="42" customHeight="1" thickBot="1">
      <c r="A4" s="15"/>
      <c r="B4" s="16" t="s">
        <v>1</v>
      </c>
      <c r="C4" s="17" t="s">
        <v>2</v>
      </c>
      <c r="D4" s="18" t="s">
        <v>281</v>
      </c>
      <c r="E4" s="34" t="s">
        <v>6</v>
      </c>
      <c r="F4" s="19" t="s">
        <v>4</v>
      </c>
      <c r="G4" s="17" t="s">
        <v>5</v>
      </c>
      <c r="H4" s="16" t="s">
        <v>2</v>
      </c>
      <c r="I4" s="18" t="s">
        <v>281</v>
      </c>
      <c r="J4" s="35" t="s">
        <v>3</v>
      </c>
      <c r="K4" s="19" t="s">
        <v>4</v>
      </c>
      <c r="L4" s="19" t="s">
        <v>5</v>
      </c>
      <c r="M4" s="21" t="s">
        <v>7</v>
      </c>
      <c r="N4" s="22" t="s">
        <v>8</v>
      </c>
      <c r="O4" s="19" t="s">
        <v>9</v>
      </c>
      <c r="P4" s="23" t="s">
        <v>281</v>
      </c>
      <c r="Q4" s="20" t="s">
        <v>11</v>
      </c>
      <c r="R4" s="24" t="s">
        <v>10</v>
      </c>
      <c r="S4" s="25"/>
    </row>
    <row r="5" spans="1:19" ht="21.95" customHeight="1">
      <c r="A5" s="243" t="s">
        <v>37</v>
      </c>
      <c r="B5" s="64" t="s">
        <v>96</v>
      </c>
      <c r="C5" s="36" t="s">
        <v>160</v>
      </c>
      <c r="D5" s="37" t="s">
        <v>204</v>
      </c>
      <c r="E5" s="80">
        <v>0.5</v>
      </c>
      <c r="F5" s="39" t="s">
        <v>63</v>
      </c>
      <c r="G5" s="68" t="s">
        <v>14</v>
      </c>
      <c r="H5" s="72" t="s">
        <v>160</v>
      </c>
      <c r="I5" s="37" t="s">
        <v>161</v>
      </c>
      <c r="J5" s="39">
        <f>ROUNDUP(E5*0.75,2)</f>
        <v>0.38</v>
      </c>
      <c r="K5" s="39" t="s">
        <v>63</v>
      </c>
      <c r="L5" s="39" t="s">
        <v>14</v>
      </c>
      <c r="M5" s="76" t="e">
        <f>#REF!</f>
        <v>#REF!</v>
      </c>
      <c r="N5" s="64"/>
      <c r="O5" s="40" t="s">
        <v>53</v>
      </c>
      <c r="P5" s="37"/>
      <c r="Q5" s="41">
        <v>110</v>
      </c>
      <c r="R5" s="84">
        <f>ROUNDUP(Q5*0.75,2)</f>
        <v>82.5</v>
      </c>
    </row>
    <row r="6" spans="1:19" ht="21.95" customHeight="1">
      <c r="A6" s="244"/>
      <c r="B6" s="66"/>
      <c r="C6" s="49"/>
      <c r="D6" s="50"/>
      <c r="E6" s="51"/>
      <c r="F6" s="52"/>
      <c r="G6" s="70"/>
      <c r="H6" s="74"/>
      <c r="I6" s="50"/>
      <c r="J6" s="52"/>
      <c r="K6" s="52"/>
      <c r="L6" s="52"/>
      <c r="M6" s="78"/>
      <c r="N6" s="66"/>
      <c r="O6" s="53"/>
      <c r="P6" s="50"/>
      <c r="Q6" s="54"/>
      <c r="R6" s="86"/>
    </row>
    <row r="7" spans="1:19" ht="21.95" customHeight="1">
      <c r="A7" s="244"/>
      <c r="B7" s="65" t="s">
        <v>205</v>
      </c>
      <c r="C7" s="42" t="s">
        <v>172</v>
      </c>
      <c r="D7" s="43"/>
      <c r="E7" s="44">
        <v>1</v>
      </c>
      <c r="F7" s="45" t="s">
        <v>119</v>
      </c>
      <c r="G7" s="69" t="s">
        <v>173</v>
      </c>
      <c r="H7" s="73" t="s">
        <v>172</v>
      </c>
      <c r="I7" s="43"/>
      <c r="J7" s="45">
        <f>ROUNDUP(E7*0.75,2)</f>
        <v>0.75</v>
      </c>
      <c r="K7" s="45" t="s">
        <v>119</v>
      </c>
      <c r="L7" s="45" t="s">
        <v>173</v>
      </c>
      <c r="M7" s="77" t="e">
        <f>#REF!</f>
        <v>#REF!</v>
      </c>
      <c r="N7" s="65" t="s">
        <v>206</v>
      </c>
      <c r="O7" s="46" t="s">
        <v>60</v>
      </c>
      <c r="P7" s="43"/>
      <c r="Q7" s="47">
        <v>0.5</v>
      </c>
      <c r="R7" s="85">
        <f t="shared" ref="R7:R13" si="0">ROUNDUP(Q7*0.75,2)</f>
        <v>0.38</v>
      </c>
    </row>
    <row r="8" spans="1:19" ht="21.95" customHeight="1">
      <c r="A8" s="244"/>
      <c r="B8" s="65"/>
      <c r="C8" s="42" t="s">
        <v>132</v>
      </c>
      <c r="D8" s="43"/>
      <c r="E8" s="44">
        <v>20</v>
      </c>
      <c r="F8" s="45" t="s">
        <v>16</v>
      </c>
      <c r="G8" s="69"/>
      <c r="H8" s="73" t="s">
        <v>132</v>
      </c>
      <c r="I8" s="43"/>
      <c r="J8" s="45">
        <f>ROUNDUP(E8*0.75,2)</f>
        <v>15</v>
      </c>
      <c r="K8" s="45" t="s">
        <v>16</v>
      </c>
      <c r="L8" s="45"/>
      <c r="M8" s="77" t="e">
        <f>ROUND(#REF!+(#REF!*15/100),2)</f>
        <v>#REF!</v>
      </c>
      <c r="N8" s="65" t="s">
        <v>207</v>
      </c>
      <c r="O8" s="46" t="s">
        <v>28</v>
      </c>
      <c r="P8" s="43"/>
      <c r="Q8" s="47">
        <v>3</v>
      </c>
      <c r="R8" s="85">
        <f t="shared" si="0"/>
        <v>2.25</v>
      </c>
    </row>
    <row r="9" spans="1:19" ht="21.95" customHeight="1">
      <c r="A9" s="244"/>
      <c r="B9" s="65"/>
      <c r="C9" s="42"/>
      <c r="D9" s="43"/>
      <c r="E9" s="44"/>
      <c r="F9" s="45"/>
      <c r="G9" s="69"/>
      <c r="H9" s="73"/>
      <c r="I9" s="43"/>
      <c r="J9" s="45"/>
      <c r="K9" s="45"/>
      <c r="L9" s="45"/>
      <c r="M9" s="77"/>
      <c r="N9" s="65" t="s">
        <v>280</v>
      </c>
      <c r="O9" s="46" t="s">
        <v>32</v>
      </c>
      <c r="P9" s="43"/>
      <c r="Q9" s="47">
        <v>3</v>
      </c>
      <c r="R9" s="85">
        <f t="shared" si="0"/>
        <v>2.25</v>
      </c>
    </row>
    <row r="10" spans="1:19" ht="21.95" customHeight="1">
      <c r="A10" s="244"/>
      <c r="B10" s="65"/>
      <c r="C10" s="42"/>
      <c r="D10" s="43"/>
      <c r="E10" s="44"/>
      <c r="F10" s="45"/>
      <c r="G10" s="69"/>
      <c r="H10" s="73"/>
      <c r="I10" s="43"/>
      <c r="J10" s="45"/>
      <c r="K10" s="45"/>
      <c r="L10" s="45"/>
      <c r="M10" s="77"/>
      <c r="N10" s="65" t="s">
        <v>29</v>
      </c>
      <c r="O10" s="46" t="s">
        <v>24</v>
      </c>
      <c r="P10" s="43"/>
      <c r="Q10" s="47">
        <v>10</v>
      </c>
      <c r="R10" s="85">
        <f t="shared" si="0"/>
        <v>7.5</v>
      </c>
    </row>
    <row r="11" spans="1:19" ht="21.95" customHeight="1">
      <c r="A11" s="244"/>
      <c r="B11" s="65"/>
      <c r="C11" s="42"/>
      <c r="D11" s="43"/>
      <c r="E11" s="44"/>
      <c r="F11" s="45"/>
      <c r="G11" s="69"/>
      <c r="H11" s="73"/>
      <c r="I11" s="43"/>
      <c r="J11" s="45"/>
      <c r="K11" s="45"/>
      <c r="L11" s="45"/>
      <c r="M11" s="77"/>
      <c r="N11" s="65"/>
      <c r="O11" s="46" t="s">
        <v>33</v>
      </c>
      <c r="P11" s="43"/>
      <c r="Q11" s="47">
        <v>2</v>
      </c>
      <c r="R11" s="85">
        <f t="shared" si="0"/>
        <v>1.5</v>
      </c>
    </row>
    <row r="12" spans="1:19" ht="21.95" customHeight="1">
      <c r="A12" s="244"/>
      <c r="B12" s="65"/>
      <c r="C12" s="42"/>
      <c r="D12" s="43"/>
      <c r="E12" s="44"/>
      <c r="F12" s="45"/>
      <c r="G12" s="69"/>
      <c r="H12" s="73"/>
      <c r="I12" s="43"/>
      <c r="J12" s="45"/>
      <c r="K12" s="45"/>
      <c r="L12" s="45"/>
      <c r="M12" s="77"/>
      <c r="N12" s="65"/>
      <c r="O12" s="46" t="s">
        <v>27</v>
      </c>
      <c r="P12" s="43" t="s">
        <v>15</v>
      </c>
      <c r="Q12" s="47">
        <v>1.5</v>
      </c>
      <c r="R12" s="85">
        <f t="shared" si="0"/>
        <v>1.1300000000000001</v>
      </c>
    </row>
    <row r="13" spans="1:19" ht="21.95" customHeight="1">
      <c r="A13" s="244"/>
      <c r="B13" s="65"/>
      <c r="C13" s="42"/>
      <c r="D13" s="43"/>
      <c r="E13" s="44"/>
      <c r="F13" s="45"/>
      <c r="G13" s="69"/>
      <c r="H13" s="73"/>
      <c r="I13" s="43"/>
      <c r="J13" s="45"/>
      <c r="K13" s="45"/>
      <c r="L13" s="45"/>
      <c r="M13" s="77"/>
      <c r="N13" s="65"/>
      <c r="O13" s="46" t="s">
        <v>25</v>
      </c>
      <c r="P13" s="43"/>
      <c r="Q13" s="47">
        <v>1.5</v>
      </c>
      <c r="R13" s="85">
        <f t="shared" si="0"/>
        <v>1.1300000000000001</v>
      </c>
    </row>
    <row r="14" spans="1:19" ht="21.95" customHeight="1">
      <c r="A14" s="244"/>
      <c r="B14" s="66"/>
      <c r="C14" s="49"/>
      <c r="D14" s="50"/>
      <c r="E14" s="51"/>
      <c r="F14" s="52"/>
      <c r="G14" s="70"/>
      <c r="H14" s="74"/>
      <c r="I14" s="50"/>
      <c r="J14" s="52"/>
      <c r="K14" s="52"/>
      <c r="L14" s="52"/>
      <c r="M14" s="78"/>
      <c r="N14" s="66"/>
      <c r="O14" s="53"/>
      <c r="P14" s="50"/>
      <c r="Q14" s="54"/>
      <c r="R14" s="86"/>
    </row>
    <row r="15" spans="1:19" ht="21.95" customHeight="1">
      <c r="A15" s="244"/>
      <c r="B15" s="65" t="s">
        <v>208</v>
      </c>
      <c r="C15" s="42" t="s">
        <v>20</v>
      </c>
      <c r="D15" s="43"/>
      <c r="E15" s="44">
        <v>10</v>
      </c>
      <c r="F15" s="45" t="s">
        <v>16</v>
      </c>
      <c r="G15" s="69"/>
      <c r="H15" s="73" t="s">
        <v>20</v>
      </c>
      <c r="I15" s="43"/>
      <c r="J15" s="45">
        <f>ROUNDUP(E15*0.75,2)</f>
        <v>7.5</v>
      </c>
      <c r="K15" s="45" t="s">
        <v>16</v>
      </c>
      <c r="L15" s="45"/>
      <c r="M15" s="77" t="e">
        <f>ROUND(#REF!+(#REF!*3/100),2)</f>
        <v>#REF!</v>
      </c>
      <c r="N15" s="65" t="s">
        <v>209</v>
      </c>
      <c r="O15" s="46" t="s">
        <v>32</v>
      </c>
      <c r="P15" s="43"/>
      <c r="Q15" s="47">
        <v>1.5</v>
      </c>
      <c r="R15" s="85">
        <f>ROUNDUP(Q15*0.75,2)</f>
        <v>1.1300000000000001</v>
      </c>
    </row>
    <row r="16" spans="1:19" ht="21.95" customHeight="1">
      <c r="A16" s="244"/>
      <c r="B16" s="65"/>
      <c r="C16" s="42" t="s">
        <v>211</v>
      </c>
      <c r="D16" s="43"/>
      <c r="E16" s="44">
        <v>5</v>
      </c>
      <c r="F16" s="45" t="s">
        <v>16</v>
      </c>
      <c r="G16" s="69"/>
      <c r="H16" s="73" t="s">
        <v>211</v>
      </c>
      <c r="I16" s="43"/>
      <c r="J16" s="45">
        <f>ROUNDUP(E16*0.75,2)</f>
        <v>3.75</v>
      </c>
      <c r="K16" s="45" t="s">
        <v>16</v>
      </c>
      <c r="L16" s="45"/>
      <c r="M16" s="77" t="e">
        <f>#REF!</f>
        <v>#REF!</v>
      </c>
      <c r="N16" s="65" t="s">
        <v>210</v>
      </c>
      <c r="O16" s="46" t="s">
        <v>24</v>
      </c>
      <c r="P16" s="43"/>
      <c r="Q16" s="47">
        <v>20</v>
      </c>
      <c r="R16" s="85">
        <f>ROUNDUP(Q16*0.75,2)</f>
        <v>15</v>
      </c>
    </row>
    <row r="17" spans="1:18" ht="21.95" customHeight="1">
      <c r="A17" s="244"/>
      <c r="B17" s="65"/>
      <c r="C17" s="42" t="s">
        <v>212</v>
      </c>
      <c r="D17" s="43" t="s">
        <v>278</v>
      </c>
      <c r="E17" s="63">
        <v>0.1</v>
      </c>
      <c r="F17" s="45" t="s">
        <v>63</v>
      </c>
      <c r="G17" s="69" t="s">
        <v>213</v>
      </c>
      <c r="H17" s="73" t="s">
        <v>212</v>
      </c>
      <c r="I17" s="43" t="s">
        <v>278</v>
      </c>
      <c r="J17" s="45">
        <f>ROUNDUP(E17*0.75,2)</f>
        <v>0.08</v>
      </c>
      <c r="K17" s="45" t="s">
        <v>63</v>
      </c>
      <c r="L17" s="45" t="s">
        <v>213</v>
      </c>
      <c r="M17" s="77" t="e">
        <f>#REF!</f>
        <v>#REF!</v>
      </c>
      <c r="N17" s="65" t="s">
        <v>29</v>
      </c>
      <c r="O17" s="46" t="s">
        <v>33</v>
      </c>
      <c r="P17" s="43"/>
      <c r="Q17" s="47">
        <v>1</v>
      </c>
      <c r="R17" s="85">
        <f>ROUNDUP(Q17*0.75,2)</f>
        <v>0.75</v>
      </c>
    </row>
    <row r="18" spans="1:18" ht="21.95" customHeight="1">
      <c r="A18" s="244"/>
      <c r="B18" s="65"/>
      <c r="C18" s="42" t="s">
        <v>93</v>
      </c>
      <c r="D18" s="43"/>
      <c r="E18" s="44">
        <v>5</v>
      </c>
      <c r="F18" s="45" t="s">
        <v>16</v>
      </c>
      <c r="G18" s="69" t="s">
        <v>14</v>
      </c>
      <c r="H18" s="73" t="s">
        <v>93</v>
      </c>
      <c r="I18" s="43"/>
      <c r="J18" s="45">
        <f>ROUNDUP(E18*0.75,2)</f>
        <v>3.75</v>
      </c>
      <c r="K18" s="45" t="s">
        <v>16</v>
      </c>
      <c r="L18" s="45" t="s">
        <v>14</v>
      </c>
      <c r="M18" s="77" t="e">
        <f>#REF!</f>
        <v>#REF!</v>
      </c>
      <c r="N18" s="65"/>
      <c r="O18" s="46" t="s">
        <v>25</v>
      </c>
      <c r="P18" s="43"/>
      <c r="Q18" s="47">
        <v>1</v>
      </c>
      <c r="R18" s="85">
        <f>ROUNDUP(Q18*0.75,2)</f>
        <v>0.75</v>
      </c>
    </row>
    <row r="19" spans="1:18" ht="21.95" customHeight="1">
      <c r="A19" s="244"/>
      <c r="B19" s="65"/>
      <c r="C19" s="42"/>
      <c r="D19" s="43"/>
      <c r="E19" s="44"/>
      <c r="F19" s="45"/>
      <c r="G19" s="69"/>
      <c r="H19" s="73"/>
      <c r="I19" s="43"/>
      <c r="J19" s="45"/>
      <c r="K19" s="45"/>
      <c r="L19" s="45"/>
      <c r="M19" s="77"/>
      <c r="N19" s="65"/>
      <c r="O19" s="46" t="s">
        <v>27</v>
      </c>
      <c r="P19" s="43" t="s">
        <v>15</v>
      </c>
      <c r="Q19" s="47">
        <v>1</v>
      </c>
      <c r="R19" s="85">
        <f>ROUNDUP(Q19*0.75,2)</f>
        <v>0.75</v>
      </c>
    </row>
    <row r="20" spans="1:18" ht="21.95" customHeight="1">
      <c r="A20" s="244"/>
      <c r="B20" s="66"/>
      <c r="C20" s="49"/>
      <c r="D20" s="50"/>
      <c r="E20" s="51"/>
      <c r="F20" s="52"/>
      <c r="G20" s="70"/>
      <c r="H20" s="74"/>
      <c r="I20" s="50"/>
      <c r="J20" s="52"/>
      <c r="K20" s="52"/>
      <c r="L20" s="52"/>
      <c r="M20" s="78"/>
      <c r="N20" s="66"/>
      <c r="O20" s="53"/>
      <c r="P20" s="50"/>
      <c r="Q20" s="54"/>
      <c r="R20" s="86"/>
    </row>
    <row r="21" spans="1:18" ht="21.95" customHeight="1">
      <c r="A21" s="244"/>
      <c r="B21" s="65" t="s">
        <v>92</v>
      </c>
      <c r="C21" s="42" t="s">
        <v>65</v>
      </c>
      <c r="D21" s="43" t="s">
        <v>15</v>
      </c>
      <c r="E21" s="63">
        <v>0.1</v>
      </c>
      <c r="F21" s="45" t="s">
        <v>63</v>
      </c>
      <c r="G21" s="69"/>
      <c r="H21" s="73" t="s">
        <v>65</v>
      </c>
      <c r="I21" s="43" t="s">
        <v>15</v>
      </c>
      <c r="J21" s="45">
        <f>ROUNDUP(E21*0.75,2)</f>
        <v>0.08</v>
      </c>
      <c r="K21" s="45" t="s">
        <v>63</v>
      </c>
      <c r="L21" s="45"/>
      <c r="M21" s="77"/>
      <c r="N21" s="65" t="s">
        <v>13</v>
      </c>
      <c r="O21" s="46" t="s">
        <v>24</v>
      </c>
      <c r="P21" s="43"/>
      <c r="Q21" s="47">
        <v>100</v>
      </c>
      <c r="R21" s="85">
        <f>ROUNDUP(Q21*0.75,2)</f>
        <v>75</v>
      </c>
    </row>
    <row r="22" spans="1:18" ht="21.95" customHeight="1">
      <c r="A22" s="244"/>
      <c r="B22" s="65"/>
      <c r="C22" s="42" t="s">
        <v>56</v>
      </c>
      <c r="D22" s="43"/>
      <c r="E22" s="44">
        <v>20</v>
      </c>
      <c r="F22" s="45" t="s">
        <v>16</v>
      </c>
      <c r="G22" s="69"/>
      <c r="H22" s="73" t="s">
        <v>56</v>
      </c>
      <c r="I22" s="43"/>
      <c r="J22" s="45">
        <f>ROUNDUP(E22*0.75,2)</f>
        <v>15</v>
      </c>
      <c r="K22" s="45" t="s">
        <v>16</v>
      </c>
      <c r="L22" s="45"/>
      <c r="M22" s="77" t="e">
        <f>ROUND(#REF!+(#REF!*6/100),2)</f>
        <v>#REF!</v>
      </c>
      <c r="N22" s="65"/>
      <c r="O22" s="46" t="s">
        <v>94</v>
      </c>
      <c r="P22" s="43"/>
      <c r="Q22" s="47">
        <v>3</v>
      </c>
      <c r="R22" s="85">
        <f>ROUNDUP(Q22*0.75,2)</f>
        <v>2.25</v>
      </c>
    </row>
    <row r="23" spans="1:18" ht="21.95" customHeight="1">
      <c r="A23" s="244"/>
      <c r="B23" s="66"/>
      <c r="C23" s="49"/>
      <c r="D23" s="50"/>
      <c r="E23" s="51"/>
      <c r="F23" s="52"/>
      <c r="G23" s="70"/>
      <c r="H23" s="74"/>
      <c r="I23" s="50"/>
      <c r="J23" s="52"/>
      <c r="K23" s="52"/>
      <c r="L23" s="52"/>
      <c r="M23" s="78"/>
      <c r="N23" s="66"/>
      <c r="O23" s="53"/>
      <c r="P23" s="50"/>
      <c r="Q23" s="54"/>
      <c r="R23" s="86"/>
    </row>
    <row r="24" spans="1:18" ht="21.95" customHeight="1">
      <c r="A24" s="244"/>
      <c r="B24" s="65" t="s">
        <v>84</v>
      </c>
      <c r="C24" s="42" t="s">
        <v>85</v>
      </c>
      <c r="D24" s="43"/>
      <c r="E24" s="62">
        <v>0.125</v>
      </c>
      <c r="F24" s="45" t="s">
        <v>23</v>
      </c>
      <c r="G24" s="69"/>
      <c r="H24" s="73" t="s">
        <v>85</v>
      </c>
      <c r="I24" s="43"/>
      <c r="J24" s="45">
        <f>ROUNDUP(E24*0.75,2)</f>
        <v>9.9999999999999992E-2</v>
      </c>
      <c r="K24" s="45" t="s">
        <v>23</v>
      </c>
      <c r="L24" s="45"/>
      <c r="M24" s="77" t="e">
        <f>#REF!</f>
        <v>#REF!</v>
      </c>
      <c r="N24" s="65" t="s">
        <v>35</v>
      </c>
      <c r="O24" s="46"/>
      <c r="P24" s="43"/>
      <c r="Q24" s="47"/>
      <c r="R24" s="85"/>
    </row>
    <row r="25" spans="1:18" ht="21.95" customHeight="1" thickBot="1">
      <c r="A25" s="245"/>
      <c r="B25" s="67"/>
      <c r="C25" s="56"/>
      <c r="D25" s="57"/>
      <c r="E25" s="58"/>
      <c r="F25" s="59"/>
      <c r="G25" s="71"/>
      <c r="H25" s="75"/>
      <c r="I25" s="57"/>
      <c r="J25" s="59"/>
      <c r="K25" s="59"/>
      <c r="L25" s="59"/>
      <c r="M25" s="79"/>
      <c r="N25" s="67"/>
      <c r="O25" s="60"/>
      <c r="P25" s="57"/>
      <c r="Q25" s="61"/>
      <c r="R25" s="87"/>
    </row>
  </sheetData>
  <mergeCells count="4">
    <mergeCell ref="H1:N1"/>
    <mergeCell ref="A2:R2"/>
    <mergeCell ref="A3:F3"/>
    <mergeCell ref="A5:A25"/>
  </mergeCells>
  <phoneticPr fontId="17"/>
  <printOptions horizontalCentered="1" verticalCentered="1"/>
  <pageMargins left="0.39370078740157483" right="0.39370078740157483" top="0.39370078740157483" bottom="0.39370078740157483" header="0.39370078740157483" footer="0.39370078740157483"/>
  <pageSetup paperSize="12" scale="5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5"/>
  <sheetViews>
    <sheetView showZeros="0" zoomScale="60" zoomScaleNormal="60" zoomScaleSheetLayoutView="80" workbookViewId="0"/>
  </sheetViews>
  <sheetFormatPr defaultRowHeight="18.75" customHeight="1"/>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c r="A1" s="1" t="s">
        <v>12</v>
      </c>
      <c r="B1" s="1"/>
      <c r="C1" s="2"/>
      <c r="D1" s="3"/>
      <c r="E1" s="2"/>
      <c r="F1" s="2"/>
      <c r="G1" s="2"/>
      <c r="H1" s="239"/>
      <c r="I1" s="239"/>
      <c r="J1" s="240"/>
      <c r="K1" s="240"/>
      <c r="L1" s="240"/>
      <c r="M1" s="240"/>
      <c r="N1" s="240"/>
      <c r="O1" s="2"/>
      <c r="P1" s="2"/>
      <c r="Q1" s="4"/>
      <c r="R1" s="4"/>
      <c r="S1" s="3"/>
    </row>
    <row r="2" spans="1:19" ht="36.75" customHeight="1">
      <c r="A2" s="239" t="s">
        <v>0</v>
      </c>
      <c r="B2" s="239"/>
      <c r="C2" s="240"/>
      <c r="D2" s="240"/>
      <c r="E2" s="240"/>
      <c r="F2" s="240"/>
      <c r="G2" s="240"/>
      <c r="H2" s="240"/>
      <c r="I2" s="240"/>
      <c r="J2" s="240"/>
      <c r="K2" s="240"/>
      <c r="L2" s="240"/>
      <c r="M2" s="240"/>
      <c r="N2" s="240"/>
      <c r="O2" s="240"/>
      <c r="P2" s="240"/>
      <c r="Q2" s="240"/>
      <c r="R2" s="240"/>
      <c r="S2" s="3"/>
    </row>
    <row r="3" spans="1:19" ht="27.75" customHeight="1" thickBot="1">
      <c r="A3" s="241" t="s">
        <v>271</v>
      </c>
      <c r="B3" s="242"/>
      <c r="C3" s="242"/>
      <c r="D3" s="242"/>
      <c r="E3" s="242"/>
      <c r="F3" s="242"/>
      <c r="G3" s="2"/>
      <c r="H3" s="2"/>
      <c r="I3" s="12"/>
      <c r="J3" s="2"/>
      <c r="K3" s="7"/>
      <c r="L3" s="7"/>
      <c r="M3" s="10"/>
      <c r="N3" s="2"/>
      <c r="O3" s="13"/>
      <c r="P3" s="12"/>
      <c r="Q3" s="14"/>
      <c r="R3" s="14"/>
      <c r="S3" s="11"/>
    </row>
    <row r="4" spans="1:19" customFormat="1" ht="42" customHeight="1" thickBot="1">
      <c r="A4" s="15"/>
      <c r="B4" s="16" t="s">
        <v>1</v>
      </c>
      <c r="C4" s="17" t="s">
        <v>2</v>
      </c>
      <c r="D4" s="18" t="s">
        <v>281</v>
      </c>
      <c r="E4" s="34" t="s">
        <v>6</v>
      </c>
      <c r="F4" s="19" t="s">
        <v>4</v>
      </c>
      <c r="G4" s="17" t="s">
        <v>5</v>
      </c>
      <c r="H4" s="16" t="s">
        <v>2</v>
      </c>
      <c r="I4" s="18" t="s">
        <v>281</v>
      </c>
      <c r="J4" s="35" t="s">
        <v>3</v>
      </c>
      <c r="K4" s="19" t="s">
        <v>4</v>
      </c>
      <c r="L4" s="19" t="s">
        <v>5</v>
      </c>
      <c r="M4" s="21" t="s">
        <v>7</v>
      </c>
      <c r="N4" s="22" t="s">
        <v>8</v>
      </c>
      <c r="O4" s="19" t="s">
        <v>9</v>
      </c>
      <c r="P4" s="23" t="s">
        <v>281</v>
      </c>
      <c r="Q4" s="20" t="s">
        <v>11</v>
      </c>
      <c r="R4" s="24" t="s">
        <v>10</v>
      </c>
      <c r="S4" s="25"/>
    </row>
    <row r="5" spans="1:19" ht="21.95" customHeight="1">
      <c r="A5" s="243" t="s">
        <v>37</v>
      </c>
      <c r="B5" s="64" t="s">
        <v>53</v>
      </c>
      <c r="C5" s="36"/>
      <c r="D5" s="37"/>
      <c r="E5" s="38"/>
      <c r="F5" s="39"/>
      <c r="G5" s="68"/>
      <c r="H5" s="72"/>
      <c r="I5" s="37"/>
      <c r="J5" s="39"/>
      <c r="K5" s="39"/>
      <c r="L5" s="39"/>
      <c r="M5" s="76"/>
      <c r="N5" s="64"/>
      <c r="O5" s="40" t="s">
        <v>53</v>
      </c>
      <c r="P5" s="37"/>
      <c r="Q5" s="41">
        <v>110</v>
      </c>
      <c r="R5" s="84">
        <f>ROUNDUP(Q5*0.75,2)</f>
        <v>82.5</v>
      </c>
    </row>
    <row r="6" spans="1:19" ht="21.95" customHeight="1">
      <c r="A6" s="244"/>
      <c r="B6" s="66"/>
      <c r="C6" s="49"/>
      <c r="D6" s="50"/>
      <c r="E6" s="51"/>
      <c r="F6" s="52"/>
      <c r="G6" s="70"/>
      <c r="H6" s="74"/>
      <c r="I6" s="50"/>
      <c r="J6" s="52"/>
      <c r="K6" s="52"/>
      <c r="L6" s="52"/>
      <c r="M6" s="78"/>
      <c r="N6" s="66"/>
      <c r="O6" s="53"/>
      <c r="P6" s="50"/>
      <c r="Q6" s="54"/>
      <c r="R6" s="86"/>
    </row>
    <row r="7" spans="1:19" ht="21.95" customHeight="1">
      <c r="A7" s="244"/>
      <c r="B7" s="65" t="s">
        <v>214</v>
      </c>
      <c r="C7" s="42" t="s">
        <v>56</v>
      </c>
      <c r="D7" s="43"/>
      <c r="E7" s="44">
        <v>20</v>
      </c>
      <c r="F7" s="45" t="s">
        <v>16</v>
      </c>
      <c r="G7" s="69"/>
      <c r="H7" s="73" t="s">
        <v>56</v>
      </c>
      <c r="I7" s="43"/>
      <c r="J7" s="45">
        <f>ROUNDUP(E7*0.75,2)</f>
        <v>15</v>
      </c>
      <c r="K7" s="45" t="s">
        <v>16</v>
      </c>
      <c r="L7" s="45"/>
      <c r="M7" s="77" t="e">
        <f>ROUND(#REF!+(#REF!*6/100),2)</f>
        <v>#REF!</v>
      </c>
      <c r="N7" s="65" t="s">
        <v>215</v>
      </c>
      <c r="O7" s="46" t="s">
        <v>32</v>
      </c>
      <c r="P7" s="43"/>
      <c r="Q7" s="47">
        <v>1</v>
      </c>
      <c r="R7" s="85">
        <f>ROUNDUP(Q7*0.75,2)</f>
        <v>0.75</v>
      </c>
    </row>
    <row r="8" spans="1:19" ht="21.95" customHeight="1">
      <c r="A8" s="244"/>
      <c r="B8" s="65"/>
      <c r="C8" s="42" t="s">
        <v>30</v>
      </c>
      <c r="D8" s="43"/>
      <c r="E8" s="44">
        <v>20</v>
      </c>
      <c r="F8" s="45" t="s">
        <v>16</v>
      </c>
      <c r="G8" s="69"/>
      <c r="H8" s="73" t="s">
        <v>30</v>
      </c>
      <c r="I8" s="43"/>
      <c r="J8" s="45">
        <f>ROUNDUP(E8*0.75,2)</f>
        <v>15</v>
      </c>
      <c r="K8" s="45" t="s">
        <v>16</v>
      </c>
      <c r="L8" s="45"/>
      <c r="M8" s="77" t="e">
        <f>ROUND(#REF!+(#REF!*10/100),2)</f>
        <v>#REF!</v>
      </c>
      <c r="N8" s="65" t="s">
        <v>216</v>
      </c>
      <c r="O8" s="46" t="s">
        <v>26</v>
      </c>
      <c r="P8" s="43"/>
      <c r="Q8" s="47">
        <v>0.1</v>
      </c>
      <c r="R8" s="85">
        <f>ROUNDUP(Q8*0.75,2)</f>
        <v>0.08</v>
      </c>
    </row>
    <row r="9" spans="1:19" ht="21.95" customHeight="1">
      <c r="A9" s="244"/>
      <c r="B9" s="65"/>
      <c r="C9" s="42" t="s">
        <v>21</v>
      </c>
      <c r="D9" s="43" t="s">
        <v>22</v>
      </c>
      <c r="E9" s="44">
        <v>1</v>
      </c>
      <c r="F9" s="45" t="s">
        <v>23</v>
      </c>
      <c r="G9" s="69"/>
      <c r="H9" s="73" t="s">
        <v>21</v>
      </c>
      <c r="I9" s="43" t="s">
        <v>22</v>
      </c>
      <c r="J9" s="45">
        <f>ROUNDUP(E9*0.75,2)</f>
        <v>0.75</v>
      </c>
      <c r="K9" s="45" t="s">
        <v>23</v>
      </c>
      <c r="L9" s="45"/>
      <c r="M9" s="77" t="e">
        <f>#REF!</f>
        <v>#REF!</v>
      </c>
      <c r="N9" s="65" t="s">
        <v>217</v>
      </c>
      <c r="O9" s="46" t="s">
        <v>108</v>
      </c>
      <c r="P9" s="43"/>
      <c r="Q9" s="47">
        <v>0.01</v>
      </c>
      <c r="R9" s="85">
        <f>ROUNDUP(Q9*0.75,2)</f>
        <v>0.01</v>
      </c>
    </row>
    <row r="10" spans="1:19" ht="21.95" customHeight="1">
      <c r="A10" s="244"/>
      <c r="B10" s="65"/>
      <c r="C10" s="42" t="s">
        <v>120</v>
      </c>
      <c r="D10" s="43"/>
      <c r="E10" s="44">
        <v>20</v>
      </c>
      <c r="F10" s="45" t="s">
        <v>16</v>
      </c>
      <c r="G10" s="69"/>
      <c r="H10" s="73" t="s">
        <v>120</v>
      </c>
      <c r="I10" s="43"/>
      <c r="J10" s="45">
        <f>ROUNDUP(E10*0.75,2)</f>
        <v>15</v>
      </c>
      <c r="K10" s="45" t="s">
        <v>16</v>
      </c>
      <c r="L10" s="45"/>
      <c r="M10" s="77" t="e">
        <f>ROUND(#REF!+(#REF!*15/100),2)</f>
        <v>#REF!</v>
      </c>
      <c r="N10" s="65" t="s">
        <v>218</v>
      </c>
      <c r="O10" s="46" t="s">
        <v>32</v>
      </c>
      <c r="P10" s="43"/>
      <c r="Q10" s="47">
        <v>2</v>
      </c>
      <c r="R10" s="85">
        <f>ROUNDUP(Q10*0.75,2)</f>
        <v>1.5</v>
      </c>
    </row>
    <row r="11" spans="1:19" ht="21.95" customHeight="1">
      <c r="A11" s="244"/>
      <c r="B11" s="65"/>
      <c r="C11" s="42"/>
      <c r="D11" s="43"/>
      <c r="E11" s="44"/>
      <c r="F11" s="45"/>
      <c r="G11" s="69"/>
      <c r="H11" s="73"/>
      <c r="I11" s="43"/>
      <c r="J11" s="45"/>
      <c r="K11" s="45"/>
      <c r="L11" s="45"/>
      <c r="M11" s="77"/>
      <c r="N11" s="65" t="s">
        <v>13</v>
      </c>
      <c r="O11" s="46" t="s">
        <v>76</v>
      </c>
      <c r="P11" s="43"/>
      <c r="Q11" s="47">
        <v>5</v>
      </c>
      <c r="R11" s="85">
        <f>ROUNDUP(Q11*0.75,2)</f>
        <v>3.75</v>
      </c>
    </row>
    <row r="12" spans="1:19" ht="21.95" customHeight="1">
      <c r="A12" s="244"/>
      <c r="B12" s="66"/>
      <c r="C12" s="49"/>
      <c r="D12" s="50"/>
      <c r="E12" s="51"/>
      <c r="F12" s="52"/>
      <c r="G12" s="70"/>
      <c r="H12" s="74"/>
      <c r="I12" s="50"/>
      <c r="J12" s="52"/>
      <c r="K12" s="52"/>
      <c r="L12" s="52"/>
      <c r="M12" s="78"/>
      <c r="N12" s="66"/>
      <c r="O12" s="53"/>
      <c r="P12" s="50"/>
      <c r="Q12" s="54"/>
      <c r="R12" s="86"/>
    </row>
    <row r="13" spans="1:19" ht="21.95" customHeight="1">
      <c r="A13" s="244"/>
      <c r="B13" s="65" t="s">
        <v>219</v>
      </c>
      <c r="C13" s="42" t="s">
        <v>115</v>
      </c>
      <c r="D13" s="43"/>
      <c r="E13" s="81">
        <v>0.25</v>
      </c>
      <c r="F13" s="45" t="s">
        <v>116</v>
      </c>
      <c r="G13" s="69" t="s">
        <v>14</v>
      </c>
      <c r="H13" s="73" t="s">
        <v>115</v>
      </c>
      <c r="I13" s="43"/>
      <c r="J13" s="45">
        <f>ROUNDUP(E13*0.75,2)</f>
        <v>0.19</v>
      </c>
      <c r="K13" s="45" t="s">
        <v>116</v>
      </c>
      <c r="L13" s="45" t="s">
        <v>14</v>
      </c>
      <c r="M13" s="77" t="e">
        <f>#REF!</f>
        <v>#REF!</v>
      </c>
      <c r="N13" s="65" t="s">
        <v>220</v>
      </c>
      <c r="O13" s="46" t="s">
        <v>121</v>
      </c>
      <c r="P13" s="43"/>
      <c r="Q13" s="47">
        <v>1.5</v>
      </c>
      <c r="R13" s="85">
        <f>ROUNDUP(Q13*0.75,2)</f>
        <v>1.1300000000000001</v>
      </c>
    </row>
    <row r="14" spans="1:19" ht="21.95" customHeight="1">
      <c r="A14" s="244"/>
      <c r="B14" s="65"/>
      <c r="C14" s="42" t="s">
        <v>54</v>
      </c>
      <c r="D14" s="43" t="s">
        <v>55</v>
      </c>
      <c r="E14" s="44">
        <v>2</v>
      </c>
      <c r="F14" s="45" t="s">
        <v>16</v>
      </c>
      <c r="G14" s="69"/>
      <c r="H14" s="73" t="s">
        <v>54</v>
      </c>
      <c r="I14" s="43" t="s">
        <v>55</v>
      </c>
      <c r="J14" s="45">
        <f>ROUNDUP(E14*0.75,2)</f>
        <v>1.5</v>
      </c>
      <c r="K14" s="45" t="s">
        <v>16</v>
      </c>
      <c r="L14" s="45"/>
      <c r="M14" s="77" t="e">
        <f>#REF!</f>
        <v>#REF!</v>
      </c>
      <c r="N14" s="65" t="s">
        <v>272</v>
      </c>
      <c r="O14" s="46" t="s">
        <v>24</v>
      </c>
      <c r="P14" s="43"/>
      <c r="Q14" s="47">
        <v>30</v>
      </c>
      <c r="R14" s="85">
        <f>ROUNDUP(Q14*0.75,2)</f>
        <v>22.5</v>
      </c>
    </row>
    <row r="15" spans="1:19" ht="21.95" customHeight="1">
      <c r="A15" s="244"/>
      <c r="B15" s="65"/>
      <c r="C15" s="42" t="s">
        <v>20</v>
      </c>
      <c r="D15" s="43"/>
      <c r="E15" s="44">
        <v>5</v>
      </c>
      <c r="F15" s="45" t="s">
        <v>16</v>
      </c>
      <c r="G15" s="69"/>
      <c r="H15" s="73" t="s">
        <v>20</v>
      </c>
      <c r="I15" s="43"/>
      <c r="J15" s="45">
        <f>ROUNDUP(E15*0.75,2)</f>
        <v>3.75</v>
      </c>
      <c r="K15" s="45" t="s">
        <v>16</v>
      </c>
      <c r="L15" s="45"/>
      <c r="M15" s="77" t="e">
        <f>ROUND(#REF!+(#REF!*3/100),2)</f>
        <v>#REF!</v>
      </c>
      <c r="N15" s="65" t="s">
        <v>221</v>
      </c>
      <c r="O15" s="46" t="s">
        <v>25</v>
      </c>
      <c r="P15" s="43"/>
      <c r="Q15" s="47">
        <v>3</v>
      </c>
      <c r="R15" s="85">
        <f>ROUNDUP(Q15*0.75,2)</f>
        <v>2.25</v>
      </c>
    </row>
    <row r="16" spans="1:19" ht="21.95" customHeight="1">
      <c r="A16" s="244"/>
      <c r="B16" s="65"/>
      <c r="C16" s="42" t="s">
        <v>80</v>
      </c>
      <c r="D16" s="43"/>
      <c r="E16" s="44">
        <v>0.5</v>
      </c>
      <c r="F16" s="45" t="s">
        <v>16</v>
      </c>
      <c r="G16" s="69" t="s">
        <v>81</v>
      </c>
      <c r="H16" s="73" t="s">
        <v>80</v>
      </c>
      <c r="I16" s="43"/>
      <c r="J16" s="45">
        <f>ROUNDUP(E16*0.75,2)</f>
        <v>0.38</v>
      </c>
      <c r="K16" s="45" t="s">
        <v>16</v>
      </c>
      <c r="L16" s="45" t="s">
        <v>81</v>
      </c>
      <c r="M16" s="77" t="e">
        <f>#REF!</f>
        <v>#REF!</v>
      </c>
      <c r="N16" s="65" t="s">
        <v>222</v>
      </c>
      <c r="O16" s="46" t="s">
        <v>27</v>
      </c>
      <c r="P16" s="43" t="s">
        <v>15</v>
      </c>
      <c r="Q16" s="47">
        <v>1.5</v>
      </c>
      <c r="R16" s="85">
        <f>ROUNDUP(Q16*0.75,2)</f>
        <v>1.1300000000000001</v>
      </c>
    </row>
    <row r="17" spans="1:18" ht="21.95" customHeight="1">
      <c r="A17" s="244"/>
      <c r="B17" s="65"/>
      <c r="C17" s="42"/>
      <c r="D17" s="43"/>
      <c r="E17" s="44"/>
      <c r="F17" s="45"/>
      <c r="G17" s="69"/>
      <c r="H17" s="73"/>
      <c r="I17" s="43"/>
      <c r="J17" s="45"/>
      <c r="K17" s="45"/>
      <c r="L17" s="45"/>
      <c r="M17" s="77"/>
      <c r="N17" s="65" t="s">
        <v>29</v>
      </c>
      <c r="O17" s="46" t="s">
        <v>28</v>
      </c>
      <c r="P17" s="43"/>
      <c r="Q17" s="47">
        <v>1</v>
      </c>
      <c r="R17" s="85">
        <f>ROUNDUP(Q17*0.75,2)</f>
        <v>0.75</v>
      </c>
    </row>
    <row r="18" spans="1:18" ht="21.95" customHeight="1">
      <c r="A18" s="244"/>
      <c r="B18" s="65"/>
      <c r="C18" s="42"/>
      <c r="D18" s="43"/>
      <c r="E18" s="44"/>
      <c r="F18" s="45"/>
      <c r="G18" s="69"/>
      <c r="H18" s="73"/>
      <c r="I18" s="43"/>
      <c r="J18" s="45"/>
      <c r="K18" s="45"/>
      <c r="L18" s="45"/>
      <c r="M18" s="77"/>
      <c r="N18" s="65"/>
      <c r="O18" s="46"/>
      <c r="P18" s="43"/>
      <c r="Q18" s="47"/>
      <c r="R18" s="85"/>
    </row>
    <row r="19" spans="1:18" ht="21.95" customHeight="1">
      <c r="A19" s="244"/>
      <c r="B19" s="66"/>
      <c r="C19" s="49"/>
      <c r="D19" s="50"/>
      <c r="E19" s="51"/>
      <c r="F19" s="52"/>
      <c r="G19" s="70"/>
      <c r="H19" s="74"/>
      <c r="I19" s="50"/>
      <c r="J19" s="52"/>
      <c r="K19" s="52"/>
      <c r="L19" s="52"/>
      <c r="M19" s="78"/>
      <c r="N19" s="66"/>
      <c r="O19" s="53"/>
      <c r="P19" s="50"/>
      <c r="Q19" s="54"/>
      <c r="R19" s="86"/>
    </row>
    <row r="20" spans="1:18" ht="21.95" customHeight="1">
      <c r="A20" s="244"/>
      <c r="B20" s="65" t="s">
        <v>223</v>
      </c>
      <c r="C20" s="42" t="s">
        <v>141</v>
      </c>
      <c r="D20" s="43"/>
      <c r="E20" s="44">
        <v>20</v>
      </c>
      <c r="F20" s="45" t="s">
        <v>16</v>
      </c>
      <c r="G20" s="69"/>
      <c r="H20" s="73" t="s">
        <v>141</v>
      </c>
      <c r="I20" s="43"/>
      <c r="J20" s="45">
        <f>ROUNDUP(E20*0.75,2)</f>
        <v>15</v>
      </c>
      <c r="K20" s="45" t="s">
        <v>16</v>
      </c>
      <c r="L20" s="45"/>
      <c r="M20" s="77" t="e">
        <f>ROUND(#REF!+(#REF!*3/100),2)</f>
        <v>#REF!</v>
      </c>
      <c r="N20" s="65" t="s">
        <v>13</v>
      </c>
      <c r="O20" s="46" t="s">
        <v>49</v>
      </c>
      <c r="P20" s="43"/>
      <c r="Q20" s="47">
        <v>100</v>
      </c>
      <c r="R20" s="85">
        <f>ROUNDUP(Q20*0.75,2)</f>
        <v>75</v>
      </c>
    </row>
    <row r="21" spans="1:18" ht="21.95" customHeight="1">
      <c r="A21" s="244"/>
      <c r="B21" s="65"/>
      <c r="C21" s="42" t="s">
        <v>124</v>
      </c>
      <c r="D21" s="43"/>
      <c r="E21" s="44">
        <v>5</v>
      </c>
      <c r="F21" s="45" t="s">
        <v>16</v>
      </c>
      <c r="G21" s="69"/>
      <c r="H21" s="73" t="s">
        <v>124</v>
      </c>
      <c r="I21" s="43"/>
      <c r="J21" s="45">
        <f>ROUNDUP(E21*0.75,2)</f>
        <v>3.75</v>
      </c>
      <c r="K21" s="45" t="s">
        <v>16</v>
      </c>
      <c r="L21" s="45"/>
      <c r="M21" s="77" t="e">
        <f>ROUND(#REF!+(#REF!*15/100),2)</f>
        <v>#REF!</v>
      </c>
      <c r="N21" s="65"/>
      <c r="O21" s="46" t="s">
        <v>157</v>
      </c>
      <c r="P21" s="43" t="s">
        <v>158</v>
      </c>
      <c r="Q21" s="47">
        <v>0.5</v>
      </c>
      <c r="R21" s="85">
        <f>ROUNDUP(Q21*0.75,2)</f>
        <v>0.38</v>
      </c>
    </row>
    <row r="22" spans="1:18" ht="21.95" customHeight="1">
      <c r="A22" s="244"/>
      <c r="B22" s="65"/>
      <c r="C22" s="42"/>
      <c r="D22" s="43"/>
      <c r="E22" s="44"/>
      <c r="F22" s="45"/>
      <c r="G22" s="69"/>
      <c r="H22" s="73"/>
      <c r="I22" s="43"/>
      <c r="J22" s="45"/>
      <c r="K22" s="45"/>
      <c r="L22" s="45"/>
      <c r="M22" s="77"/>
      <c r="N22" s="65"/>
      <c r="O22" s="46" t="s">
        <v>26</v>
      </c>
      <c r="P22" s="43"/>
      <c r="Q22" s="47">
        <v>0.1</v>
      </c>
      <c r="R22" s="85">
        <f>ROUNDUP(Q22*0.75,2)</f>
        <v>0.08</v>
      </c>
    </row>
    <row r="23" spans="1:18" ht="21.95" customHeight="1">
      <c r="A23" s="244"/>
      <c r="B23" s="66"/>
      <c r="C23" s="49"/>
      <c r="D23" s="50"/>
      <c r="E23" s="51"/>
      <c r="F23" s="52"/>
      <c r="G23" s="70"/>
      <c r="H23" s="74"/>
      <c r="I23" s="50"/>
      <c r="J23" s="52"/>
      <c r="K23" s="52"/>
      <c r="L23" s="52"/>
      <c r="M23" s="78"/>
      <c r="N23" s="66"/>
      <c r="O23" s="53"/>
      <c r="P23" s="50"/>
      <c r="Q23" s="54"/>
      <c r="R23" s="86"/>
    </row>
    <row r="24" spans="1:18" ht="21.95" customHeight="1">
      <c r="A24" s="244"/>
      <c r="B24" s="65" t="s">
        <v>139</v>
      </c>
      <c r="C24" s="42" t="s">
        <v>140</v>
      </c>
      <c r="D24" s="43"/>
      <c r="E24" s="81">
        <v>0.25</v>
      </c>
      <c r="F24" s="45" t="s">
        <v>44</v>
      </c>
      <c r="G24" s="69"/>
      <c r="H24" s="73" t="s">
        <v>140</v>
      </c>
      <c r="I24" s="43"/>
      <c r="J24" s="45">
        <f>ROUNDUP(E24*0.75,2)</f>
        <v>0.19</v>
      </c>
      <c r="K24" s="45" t="s">
        <v>44</v>
      </c>
      <c r="L24" s="45"/>
      <c r="M24" s="77" t="e">
        <f>#REF!</f>
        <v>#REF!</v>
      </c>
      <c r="N24" s="65" t="s">
        <v>35</v>
      </c>
      <c r="O24" s="46"/>
      <c r="P24" s="43"/>
      <c r="Q24" s="47"/>
      <c r="R24" s="85"/>
    </row>
    <row r="25" spans="1:18" ht="21.95" customHeight="1" thickBot="1">
      <c r="A25" s="245"/>
      <c r="B25" s="67"/>
      <c r="C25" s="56"/>
      <c r="D25" s="57"/>
      <c r="E25" s="58"/>
      <c r="F25" s="59"/>
      <c r="G25" s="71"/>
      <c r="H25" s="75"/>
      <c r="I25" s="57"/>
      <c r="J25" s="59"/>
      <c r="K25" s="59"/>
      <c r="L25" s="59"/>
      <c r="M25" s="79"/>
      <c r="N25" s="67"/>
      <c r="O25" s="60"/>
      <c r="P25" s="57"/>
      <c r="Q25" s="61"/>
      <c r="R25" s="87"/>
    </row>
  </sheetData>
  <mergeCells count="4">
    <mergeCell ref="H1:N1"/>
    <mergeCell ref="A2:R2"/>
    <mergeCell ref="A3:F3"/>
    <mergeCell ref="A5:A25"/>
  </mergeCells>
  <phoneticPr fontId="19"/>
  <printOptions horizontalCentered="1" verticalCentered="1"/>
  <pageMargins left="0.39370078740157483" right="0.39370078740157483" top="0.39370078740157483" bottom="0.39370078740157483" header="0.39370078740157483" footer="0.39370078740157483"/>
  <pageSetup paperSize="12" scale="5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5"/>
  <sheetViews>
    <sheetView showZeros="0" zoomScale="60" zoomScaleNormal="60" zoomScaleSheetLayoutView="80" workbookViewId="0"/>
  </sheetViews>
  <sheetFormatPr defaultRowHeight="18.75" customHeight="1"/>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c r="A1" s="1" t="s">
        <v>12</v>
      </c>
      <c r="B1" s="1"/>
      <c r="C1" s="2"/>
      <c r="D1" s="3"/>
      <c r="E1" s="2"/>
      <c r="F1" s="2"/>
      <c r="G1" s="2"/>
      <c r="H1" s="239"/>
      <c r="I1" s="239"/>
      <c r="J1" s="240"/>
      <c r="K1" s="240"/>
      <c r="L1" s="240"/>
      <c r="M1" s="240"/>
      <c r="N1" s="240"/>
      <c r="O1" s="2"/>
      <c r="P1" s="2"/>
      <c r="Q1" s="4"/>
      <c r="R1" s="4"/>
      <c r="S1" s="3"/>
    </row>
    <row r="2" spans="1:19" ht="36.75" customHeight="1">
      <c r="A2" s="239" t="s">
        <v>0</v>
      </c>
      <c r="B2" s="239"/>
      <c r="C2" s="240"/>
      <c r="D2" s="240"/>
      <c r="E2" s="240"/>
      <c r="F2" s="240"/>
      <c r="G2" s="240"/>
      <c r="H2" s="240"/>
      <c r="I2" s="240"/>
      <c r="J2" s="240"/>
      <c r="K2" s="240"/>
      <c r="L2" s="240"/>
      <c r="M2" s="240"/>
      <c r="N2" s="240"/>
      <c r="O2" s="240"/>
      <c r="P2" s="240"/>
      <c r="Q2" s="240"/>
      <c r="R2" s="240"/>
      <c r="S2" s="3"/>
    </row>
    <row r="3" spans="1:19" ht="27.75" customHeight="1" thickBot="1">
      <c r="A3" s="241" t="s">
        <v>224</v>
      </c>
      <c r="B3" s="242"/>
      <c r="C3" s="242"/>
      <c r="D3" s="242"/>
      <c r="E3" s="242"/>
      <c r="F3" s="242"/>
      <c r="G3" s="2"/>
      <c r="H3" s="2"/>
      <c r="I3" s="12"/>
      <c r="J3" s="2"/>
      <c r="K3" s="7"/>
      <c r="L3" s="7"/>
      <c r="M3" s="10"/>
      <c r="N3" s="2"/>
      <c r="O3" s="13"/>
      <c r="P3" s="12"/>
      <c r="Q3" s="14"/>
      <c r="R3" s="14"/>
      <c r="S3" s="11"/>
    </row>
    <row r="4" spans="1:19" customFormat="1" ht="42" customHeight="1" thickBot="1">
      <c r="A4" s="15"/>
      <c r="B4" s="16" t="s">
        <v>1</v>
      </c>
      <c r="C4" s="17" t="s">
        <v>2</v>
      </c>
      <c r="D4" s="18" t="s">
        <v>281</v>
      </c>
      <c r="E4" s="34" t="s">
        <v>6</v>
      </c>
      <c r="F4" s="19" t="s">
        <v>4</v>
      </c>
      <c r="G4" s="17" t="s">
        <v>5</v>
      </c>
      <c r="H4" s="16" t="s">
        <v>2</v>
      </c>
      <c r="I4" s="18" t="s">
        <v>281</v>
      </c>
      <c r="J4" s="35" t="s">
        <v>3</v>
      </c>
      <c r="K4" s="19" t="s">
        <v>4</v>
      </c>
      <c r="L4" s="19" t="s">
        <v>5</v>
      </c>
      <c r="M4" s="21" t="s">
        <v>7</v>
      </c>
      <c r="N4" s="22" t="s">
        <v>8</v>
      </c>
      <c r="O4" s="19" t="s">
        <v>9</v>
      </c>
      <c r="P4" s="23" t="s">
        <v>281</v>
      </c>
      <c r="Q4" s="20" t="s">
        <v>11</v>
      </c>
      <c r="R4" s="24" t="s">
        <v>10</v>
      </c>
      <c r="S4" s="25"/>
    </row>
    <row r="5" spans="1:19" ht="21.95" customHeight="1">
      <c r="A5" s="243" t="s">
        <v>37</v>
      </c>
      <c r="B5" s="64" t="s">
        <v>70</v>
      </c>
      <c r="C5" s="36" t="s">
        <v>59</v>
      </c>
      <c r="D5" s="37"/>
      <c r="E5" s="38">
        <v>30</v>
      </c>
      <c r="F5" s="39" t="s">
        <v>16</v>
      </c>
      <c r="G5" s="68" t="s">
        <v>18</v>
      </c>
      <c r="H5" s="72" t="s">
        <v>59</v>
      </c>
      <c r="I5" s="37"/>
      <c r="J5" s="39">
        <f t="shared" ref="J5:J10" si="0">ROUNDUP(E5*0.75,2)</f>
        <v>22.5</v>
      </c>
      <c r="K5" s="39" t="s">
        <v>16</v>
      </c>
      <c r="L5" s="39" t="s">
        <v>18</v>
      </c>
      <c r="M5" s="76" t="e">
        <f>#REF!</f>
        <v>#REF!</v>
      </c>
      <c r="N5" s="64" t="s">
        <v>71</v>
      </c>
      <c r="O5" s="40" t="s">
        <v>53</v>
      </c>
      <c r="P5" s="37"/>
      <c r="Q5" s="41">
        <v>110</v>
      </c>
      <c r="R5" s="84">
        <f t="shared" ref="R5:R10" si="1">ROUNDUP(Q5*0.75,2)</f>
        <v>82.5</v>
      </c>
    </row>
    <row r="6" spans="1:19" ht="21.95" customHeight="1">
      <c r="A6" s="244"/>
      <c r="B6" s="65"/>
      <c r="C6" s="42" t="s">
        <v>56</v>
      </c>
      <c r="D6" s="43"/>
      <c r="E6" s="44">
        <v>30</v>
      </c>
      <c r="F6" s="45" t="s">
        <v>16</v>
      </c>
      <c r="G6" s="69"/>
      <c r="H6" s="73" t="s">
        <v>56</v>
      </c>
      <c r="I6" s="43"/>
      <c r="J6" s="45">
        <f t="shared" si="0"/>
        <v>22.5</v>
      </c>
      <c r="K6" s="45" t="s">
        <v>16</v>
      </c>
      <c r="L6" s="45"/>
      <c r="M6" s="77" t="e">
        <f>ROUND(#REF!+(#REF!*6/100),2)</f>
        <v>#REF!</v>
      </c>
      <c r="N6" s="65" t="s">
        <v>72</v>
      </c>
      <c r="O6" s="46" t="s">
        <v>60</v>
      </c>
      <c r="P6" s="43"/>
      <c r="Q6" s="47">
        <v>0.5</v>
      </c>
      <c r="R6" s="85">
        <f t="shared" si="1"/>
        <v>0.38</v>
      </c>
    </row>
    <row r="7" spans="1:19" ht="21.95" customHeight="1">
      <c r="A7" s="244"/>
      <c r="B7" s="65"/>
      <c r="C7" s="42" t="s">
        <v>74</v>
      </c>
      <c r="D7" s="43"/>
      <c r="E7" s="44">
        <v>40</v>
      </c>
      <c r="F7" s="45" t="s">
        <v>16</v>
      </c>
      <c r="G7" s="69"/>
      <c r="H7" s="73" t="s">
        <v>74</v>
      </c>
      <c r="I7" s="43"/>
      <c r="J7" s="45">
        <f t="shared" si="0"/>
        <v>30</v>
      </c>
      <c r="K7" s="45" t="s">
        <v>16</v>
      </c>
      <c r="L7" s="45"/>
      <c r="M7" s="77" t="e">
        <f>ROUND(#REF!+(#REF!*10/100),2)</f>
        <v>#REF!</v>
      </c>
      <c r="N7" s="65" t="s">
        <v>73</v>
      </c>
      <c r="O7" s="46" t="s">
        <v>32</v>
      </c>
      <c r="P7" s="43"/>
      <c r="Q7" s="47">
        <v>1</v>
      </c>
      <c r="R7" s="85">
        <f t="shared" si="1"/>
        <v>0.75</v>
      </c>
    </row>
    <row r="8" spans="1:19" ht="21.95" customHeight="1">
      <c r="A8" s="244"/>
      <c r="B8" s="65"/>
      <c r="C8" s="42" t="s">
        <v>20</v>
      </c>
      <c r="D8" s="43"/>
      <c r="E8" s="44">
        <v>10</v>
      </c>
      <c r="F8" s="45" t="s">
        <v>16</v>
      </c>
      <c r="G8" s="69"/>
      <c r="H8" s="73" t="s">
        <v>20</v>
      </c>
      <c r="I8" s="43"/>
      <c r="J8" s="45">
        <f t="shared" si="0"/>
        <v>7.5</v>
      </c>
      <c r="K8" s="45" t="s">
        <v>16</v>
      </c>
      <c r="L8" s="45"/>
      <c r="M8" s="77" t="e">
        <f>ROUND(#REF!+(#REF!*3/100),2)</f>
        <v>#REF!</v>
      </c>
      <c r="N8" s="65" t="s">
        <v>41</v>
      </c>
      <c r="O8" s="46" t="s">
        <v>49</v>
      </c>
      <c r="P8" s="43"/>
      <c r="Q8" s="47">
        <v>40</v>
      </c>
      <c r="R8" s="85">
        <f t="shared" si="1"/>
        <v>30</v>
      </c>
    </row>
    <row r="9" spans="1:19" ht="21.95" customHeight="1">
      <c r="A9" s="244"/>
      <c r="B9" s="65"/>
      <c r="C9" s="42" t="s">
        <v>75</v>
      </c>
      <c r="D9" s="43" t="s">
        <v>15</v>
      </c>
      <c r="E9" s="44">
        <v>9</v>
      </c>
      <c r="F9" s="45" t="s">
        <v>16</v>
      </c>
      <c r="G9" s="69"/>
      <c r="H9" s="73" t="s">
        <v>75</v>
      </c>
      <c r="I9" s="43" t="s">
        <v>15</v>
      </c>
      <c r="J9" s="45">
        <f t="shared" si="0"/>
        <v>6.75</v>
      </c>
      <c r="K9" s="45" t="s">
        <v>16</v>
      </c>
      <c r="L9" s="45"/>
      <c r="M9" s="77" t="e">
        <f>#REF!</f>
        <v>#REF!</v>
      </c>
      <c r="N9" s="65" t="s">
        <v>253</v>
      </c>
      <c r="O9" s="46" t="s">
        <v>33</v>
      </c>
      <c r="P9" s="43"/>
      <c r="Q9" s="47">
        <v>0.5</v>
      </c>
      <c r="R9" s="85">
        <f t="shared" si="1"/>
        <v>0.38</v>
      </c>
    </row>
    <row r="10" spans="1:19" ht="21.95" customHeight="1">
      <c r="A10" s="244"/>
      <c r="B10" s="65"/>
      <c r="C10" s="42" t="s">
        <v>38</v>
      </c>
      <c r="D10" s="43" t="s">
        <v>39</v>
      </c>
      <c r="E10" s="44">
        <v>30</v>
      </c>
      <c r="F10" s="45" t="s">
        <v>40</v>
      </c>
      <c r="G10" s="69" t="s">
        <v>14</v>
      </c>
      <c r="H10" s="73" t="s">
        <v>38</v>
      </c>
      <c r="I10" s="43" t="s">
        <v>39</v>
      </c>
      <c r="J10" s="45">
        <f t="shared" si="0"/>
        <v>22.5</v>
      </c>
      <c r="K10" s="45" t="s">
        <v>40</v>
      </c>
      <c r="L10" s="45" t="s">
        <v>14</v>
      </c>
      <c r="M10" s="77" t="e">
        <f>#REF!</f>
        <v>#REF!</v>
      </c>
      <c r="N10" s="65" t="s">
        <v>254</v>
      </c>
      <c r="O10" s="46" t="s">
        <v>76</v>
      </c>
      <c r="P10" s="43"/>
      <c r="Q10" s="47">
        <v>2</v>
      </c>
      <c r="R10" s="85">
        <f t="shared" si="1"/>
        <v>1.5</v>
      </c>
    </row>
    <row r="11" spans="1:19" ht="21.95" customHeight="1">
      <c r="A11" s="244"/>
      <c r="B11" s="66"/>
      <c r="C11" s="49"/>
      <c r="D11" s="50"/>
      <c r="E11" s="51"/>
      <c r="F11" s="52"/>
      <c r="G11" s="70"/>
      <c r="H11" s="74"/>
      <c r="I11" s="50"/>
      <c r="J11" s="52"/>
      <c r="K11" s="52"/>
      <c r="L11" s="52"/>
      <c r="M11" s="78"/>
      <c r="N11" s="66" t="s">
        <v>13</v>
      </c>
      <c r="O11" s="53"/>
      <c r="P11" s="50"/>
      <c r="Q11" s="54"/>
      <c r="R11" s="86"/>
    </row>
    <row r="12" spans="1:19" ht="21.95" customHeight="1">
      <c r="A12" s="244"/>
      <c r="B12" s="65" t="s">
        <v>77</v>
      </c>
      <c r="C12" s="42" t="s">
        <v>45</v>
      </c>
      <c r="D12" s="43"/>
      <c r="E12" s="44">
        <v>30</v>
      </c>
      <c r="F12" s="45" t="s">
        <v>16</v>
      </c>
      <c r="G12" s="69"/>
      <c r="H12" s="73" t="s">
        <v>45</v>
      </c>
      <c r="I12" s="43"/>
      <c r="J12" s="45">
        <f>ROUNDUP(E12*0.75,2)</f>
        <v>22.5</v>
      </c>
      <c r="K12" s="45" t="s">
        <v>16</v>
      </c>
      <c r="L12" s="45"/>
      <c r="M12" s="77" t="e">
        <f>ROUND(#REF!+(#REF!*15/100),2)</f>
        <v>#REF!</v>
      </c>
      <c r="N12" s="65" t="s">
        <v>78</v>
      </c>
      <c r="O12" s="46" t="s">
        <v>33</v>
      </c>
      <c r="P12" s="43"/>
      <c r="Q12" s="47">
        <v>0.3</v>
      </c>
      <c r="R12" s="85">
        <f>ROUNDUP(Q12*0.75,2)</f>
        <v>0.23</v>
      </c>
    </row>
    <row r="13" spans="1:19" ht="21.95" customHeight="1">
      <c r="A13" s="244"/>
      <c r="B13" s="65"/>
      <c r="C13" s="42" t="s">
        <v>80</v>
      </c>
      <c r="D13" s="43"/>
      <c r="E13" s="44">
        <v>0.5</v>
      </c>
      <c r="F13" s="45" t="s">
        <v>16</v>
      </c>
      <c r="G13" s="69" t="s">
        <v>81</v>
      </c>
      <c r="H13" s="73" t="s">
        <v>80</v>
      </c>
      <c r="I13" s="43"/>
      <c r="J13" s="45">
        <f>ROUNDUP(E13*0.75,2)</f>
        <v>0.38</v>
      </c>
      <c r="K13" s="45" t="s">
        <v>16</v>
      </c>
      <c r="L13" s="45" t="s">
        <v>81</v>
      </c>
      <c r="M13" s="77" t="e">
        <f>#REF!</f>
        <v>#REF!</v>
      </c>
      <c r="N13" s="65" t="s">
        <v>79</v>
      </c>
      <c r="O13" s="46" t="s">
        <v>50</v>
      </c>
      <c r="P13" s="43" t="s">
        <v>51</v>
      </c>
      <c r="Q13" s="47">
        <v>4</v>
      </c>
      <c r="R13" s="85">
        <f>ROUNDUP(Q13*0.75,2)</f>
        <v>3</v>
      </c>
    </row>
    <row r="14" spans="1:19" ht="21.95" customHeight="1">
      <c r="A14" s="244"/>
      <c r="B14" s="65"/>
      <c r="C14" s="42" t="s">
        <v>82</v>
      </c>
      <c r="D14" s="43"/>
      <c r="E14" s="44">
        <v>10</v>
      </c>
      <c r="F14" s="45" t="s">
        <v>16</v>
      </c>
      <c r="G14" s="69" t="s">
        <v>83</v>
      </c>
      <c r="H14" s="73" t="s">
        <v>82</v>
      </c>
      <c r="I14" s="43"/>
      <c r="J14" s="45">
        <f>ROUNDUP(E14*0.75,2)</f>
        <v>7.5</v>
      </c>
      <c r="K14" s="45" t="s">
        <v>16</v>
      </c>
      <c r="L14" s="45" t="s">
        <v>83</v>
      </c>
      <c r="M14" s="77" t="e">
        <f>#REF!</f>
        <v>#REF!</v>
      </c>
      <c r="N14" s="65" t="s">
        <v>29</v>
      </c>
      <c r="O14" s="46" t="s">
        <v>26</v>
      </c>
      <c r="P14" s="43"/>
      <c r="Q14" s="47">
        <v>0.1</v>
      </c>
      <c r="R14" s="85">
        <f>ROUNDUP(Q14*0.75,2)</f>
        <v>0.08</v>
      </c>
    </row>
    <row r="15" spans="1:19" ht="21.95" customHeight="1">
      <c r="A15" s="244"/>
      <c r="B15" s="65"/>
      <c r="C15" s="42"/>
      <c r="D15" s="43"/>
      <c r="E15" s="44"/>
      <c r="F15" s="45"/>
      <c r="G15" s="69"/>
      <c r="H15" s="73"/>
      <c r="I15" s="43"/>
      <c r="J15" s="45"/>
      <c r="K15" s="45"/>
      <c r="L15" s="45"/>
      <c r="M15" s="77"/>
      <c r="N15" s="65"/>
      <c r="O15" s="46"/>
      <c r="P15" s="43"/>
      <c r="Q15" s="47"/>
      <c r="R15" s="85"/>
    </row>
    <row r="16" spans="1:19" ht="21.95" customHeight="1">
      <c r="A16" s="244"/>
      <c r="B16" s="66"/>
      <c r="C16" s="49"/>
      <c r="D16" s="50"/>
      <c r="E16" s="51"/>
      <c r="F16" s="52"/>
      <c r="G16" s="70"/>
      <c r="H16" s="74"/>
      <c r="I16" s="50"/>
      <c r="J16" s="52"/>
      <c r="K16" s="52"/>
      <c r="L16" s="52"/>
      <c r="M16" s="78"/>
      <c r="N16" s="66"/>
      <c r="O16" s="53"/>
      <c r="P16" s="50"/>
      <c r="Q16" s="54"/>
      <c r="R16" s="86"/>
    </row>
    <row r="17" spans="1:18" ht="21.95" customHeight="1">
      <c r="A17" s="244"/>
      <c r="B17" s="65" t="s">
        <v>84</v>
      </c>
      <c r="C17" s="42" t="s">
        <v>85</v>
      </c>
      <c r="D17" s="43"/>
      <c r="E17" s="62">
        <v>0.125</v>
      </c>
      <c r="F17" s="45" t="s">
        <v>23</v>
      </c>
      <c r="G17" s="69"/>
      <c r="H17" s="73" t="s">
        <v>85</v>
      </c>
      <c r="I17" s="43"/>
      <c r="J17" s="45">
        <f>ROUNDUP(E17*0.75,2)</f>
        <v>9.9999999999999992E-2</v>
      </c>
      <c r="K17" s="45" t="s">
        <v>23</v>
      </c>
      <c r="L17" s="45"/>
      <c r="M17" s="77" t="e">
        <f>#REF!</f>
        <v>#REF!</v>
      </c>
      <c r="N17" s="65" t="s">
        <v>35</v>
      </c>
      <c r="O17" s="46"/>
      <c r="P17" s="43"/>
      <c r="Q17" s="47"/>
      <c r="R17" s="85"/>
    </row>
    <row r="18" spans="1:18" ht="21.95" customHeight="1" thickBot="1">
      <c r="A18" s="245"/>
      <c r="B18" s="67"/>
      <c r="C18" s="56"/>
      <c r="D18" s="57"/>
      <c r="E18" s="58"/>
      <c r="F18" s="59"/>
      <c r="G18" s="71"/>
      <c r="H18" s="75"/>
      <c r="I18" s="57"/>
      <c r="J18" s="59"/>
      <c r="K18" s="59"/>
      <c r="L18" s="59"/>
      <c r="M18" s="79"/>
      <c r="N18" s="67"/>
      <c r="O18" s="60"/>
      <c r="P18" s="57"/>
      <c r="Q18" s="61"/>
      <c r="R18" s="87"/>
    </row>
    <row r="19" spans="1:18" ht="21.95" customHeight="1"/>
    <row r="20" spans="1:18" ht="21.95" customHeight="1"/>
    <row r="21" spans="1:18" ht="21.95" customHeight="1"/>
    <row r="22" spans="1:18" ht="21.95" customHeight="1"/>
    <row r="23" spans="1:18" ht="21.95" customHeight="1"/>
    <row r="24" spans="1:18" ht="21.95" customHeight="1"/>
    <row r="25" spans="1:18" ht="21.95" customHeight="1"/>
  </sheetData>
  <mergeCells count="4">
    <mergeCell ref="H1:N1"/>
    <mergeCell ref="A2:R2"/>
    <mergeCell ref="A3:F3"/>
    <mergeCell ref="A5:A18"/>
  </mergeCells>
  <phoneticPr fontId="17"/>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5"/>
  <sheetViews>
    <sheetView showZeros="0" zoomScale="60" zoomScaleNormal="60" zoomScaleSheetLayoutView="80" workbookViewId="0"/>
  </sheetViews>
  <sheetFormatPr defaultRowHeight="18.75" customHeight="1"/>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c r="A1" s="1" t="s">
        <v>12</v>
      </c>
      <c r="B1" s="1"/>
      <c r="C1" s="2"/>
      <c r="D1" s="3"/>
      <c r="E1" s="2"/>
      <c r="F1" s="2"/>
      <c r="G1" s="2"/>
      <c r="H1" s="239"/>
      <c r="I1" s="239"/>
      <c r="J1" s="240"/>
      <c r="K1" s="240"/>
      <c r="L1" s="240"/>
      <c r="M1" s="240"/>
      <c r="N1" s="240"/>
      <c r="O1" s="2"/>
      <c r="P1" s="2"/>
      <c r="Q1" s="4"/>
      <c r="R1" s="4"/>
      <c r="S1" s="3"/>
    </row>
    <row r="2" spans="1:19" ht="36.75" customHeight="1">
      <c r="A2" s="239" t="s">
        <v>0</v>
      </c>
      <c r="B2" s="239"/>
      <c r="C2" s="240"/>
      <c r="D2" s="240"/>
      <c r="E2" s="240"/>
      <c r="F2" s="240"/>
      <c r="G2" s="240"/>
      <c r="H2" s="240"/>
      <c r="I2" s="240"/>
      <c r="J2" s="240"/>
      <c r="K2" s="240"/>
      <c r="L2" s="240"/>
      <c r="M2" s="240"/>
      <c r="N2" s="240"/>
      <c r="O2" s="240"/>
      <c r="P2" s="240"/>
      <c r="Q2" s="240"/>
      <c r="R2" s="240"/>
      <c r="S2" s="3"/>
    </row>
    <row r="3" spans="1:19" ht="27.75" customHeight="1" thickBot="1">
      <c r="A3" s="241" t="s">
        <v>225</v>
      </c>
      <c r="B3" s="242"/>
      <c r="C3" s="242"/>
      <c r="D3" s="242"/>
      <c r="E3" s="242"/>
      <c r="F3" s="242"/>
      <c r="G3" s="2"/>
      <c r="H3" s="2"/>
      <c r="I3" s="12"/>
      <c r="J3" s="2"/>
      <c r="K3" s="7"/>
      <c r="L3" s="7"/>
      <c r="M3" s="10"/>
      <c r="N3" s="2"/>
      <c r="O3" s="13"/>
      <c r="P3" s="12"/>
      <c r="Q3" s="14"/>
      <c r="R3" s="14"/>
      <c r="S3" s="11"/>
    </row>
    <row r="4" spans="1:19" customFormat="1" ht="42" customHeight="1" thickBot="1">
      <c r="A4" s="15"/>
      <c r="B4" s="16" t="s">
        <v>1</v>
      </c>
      <c r="C4" s="17" t="s">
        <v>2</v>
      </c>
      <c r="D4" s="18" t="s">
        <v>281</v>
      </c>
      <c r="E4" s="34" t="s">
        <v>6</v>
      </c>
      <c r="F4" s="19" t="s">
        <v>4</v>
      </c>
      <c r="G4" s="17" t="s">
        <v>5</v>
      </c>
      <c r="H4" s="16" t="s">
        <v>2</v>
      </c>
      <c r="I4" s="18" t="s">
        <v>281</v>
      </c>
      <c r="J4" s="35" t="s">
        <v>3</v>
      </c>
      <c r="K4" s="19" t="s">
        <v>4</v>
      </c>
      <c r="L4" s="19" t="s">
        <v>5</v>
      </c>
      <c r="M4" s="21" t="s">
        <v>7</v>
      </c>
      <c r="N4" s="22" t="s">
        <v>8</v>
      </c>
      <c r="O4" s="19" t="s">
        <v>9</v>
      </c>
      <c r="P4" s="23" t="s">
        <v>281</v>
      </c>
      <c r="Q4" s="20" t="s">
        <v>11</v>
      </c>
      <c r="R4" s="24" t="s">
        <v>10</v>
      </c>
      <c r="S4" s="25"/>
    </row>
    <row r="5" spans="1:19" ht="21.95" customHeight="1">
      <c r="A5" s="243" t="s">
        <v>37</v>
      </c>
      <c r="B5" s="64" t="s">
        <v>96</v>
      </c>
      <c r="C5" s="36" t="s">
        <v>97</v>
      </c>
      <c r="D5" s="37" t="s">
        <v>98</v>
      </c>
      <c r="E5" s="80">
        <v>0.5</v>
      </c>
      <c r="F5" s="39" t="s">
        <v>63</v>
      </c>
      <c r="G5" s="68" t="s">
        <v>14</v>
      </c>
      <c r="H5" s="72" t="s">
        <v>97</v>
      </c>
      <c r="I5" s="37" t="s">
        <v>98</v>
      </c>
      <c r="J5" s="39">
        <f>ROUNDUP(E5*0.75,2)</f>
        <v>0.38</v>
      </c>
      <c r="K5" s="39" t="s">
        <v>63</v>
      </c>
      <c r="L5" s="39" t="s">
        <v>14</v>
      </c>
      <c r="M5" s="76" t="e">
        <f>#REF!</f>
        <v>#REF!</v>
      </c>
      <c r="N5" s="64"/>
      <c r="O5" s="40" t="s">
        <v>53</v>
      </c>
      <c r="P5" s="37"/>
      <c r="Q5" s="41">
        <v>110</v>
      </c>
      <c r="R5" s="84">
        <f>ROUNDUP(Q5*0.75,2)</f>
        <v>82.5</v>
      </c>
    </row>
    <row r="6" spans="1:19" ht="21.95" customHeight="1">
      <c r="A6" s="244"/>
      <c r="B6" s="66"/>
      <c r="C6" s="49"/>
      <c r="D6" s="50"/>
      <c r="E6" s="51"/>
      <c r="F6" s="52"/>
      <c r="G6" s="70"/>
      <c r="H6" s="74"/>
      <c r="I6" s="50"/>
      <c r="J6" s="52"/>
      <c r="K6" s="52"/>
      <c r="L6" s="52"/>
      <c r="M6" s="78"/>
      <c r="N6" s="66"/>
      <c r="O6" s="53"/>
      <c r="P6" s="50"/>
      <c r="Q6" s="54"/>
      <c r="R6" s="86"/>
    </row>
    <row r="7" spans="1:19" ht="21.95" customHeight="1">
      <c r="A7" s="244"/>
      <c r="B7" s="65" t="s">
        <v>99</v>
      </c>
      <c r="C7" s="42" t="s">
        <v>105</v>
      </c>
      <c r="D7" s="43"/>
      <c r="E7" s="44">
        <v>40</v>
      </c>
      <c r="F7" s="45" t="s">
        <v>16</v>
      </c>
      <c r="G7" s="69" t="s">
        <v>18</v>
      </c>
      <c r="H7" s="73" t="s">
        <v>105</v>
      </c>
      <c r="I7" s="43"/>
      <c r="J7" s="45">
        <f t="shared" ref="J7:J12" si="0">ROUNDUP(E7*0.75,2)</f>
        <v>30</v>
      </c>
      <c r="K7" s="45" t="s">
        <v>16</v>
      </c>
      <c r="L7" s="45" t="s">
        <v>18</v>
      </c>
      <c r="M7" s="77" t="e">
        <f>#REF!</f>
        <v>#REF!</v>
      </c>
      <c r="N7" s="65" t="s">
        <v>100</v>
      </c>
      <c r="O7" s="46" t="s">
        <v>32</v>
      </c>
      <c r="P7" s="43"/>
      <c r="Q7" s="47">
        <v>1</v>
      </c>
      <c r="R7" s="85">
        <f t="shared" ref="R7:R15" si="1">ROUNDUP(Q7*0.75,2)</f>
        <v>0.75</v>
      </c>
    </row>
    <row r="8" spans="1:19" ht="21.95" customHeight="1">
      <c r="A8" s="244"/>
      <c r="B8" s="65"/>
      <c r="C8" s="42" t="s">
        <v>56</v>
      </c>
      <c r="D8" s="43"/>
      <c r="E8" s="44">
        <v>20</v>
      </c>
      <c r="F8" s="45" t="s">
        <v>16</v>
      </c>
      <c r="G8" s="69"/>
      <c r="H8" s="73" t="s">
        <v>56</v>
      </c>
      <c r="I8" s="43"/>
      <c r="J8" s="45">
        <f t="shared" si="0"/>
        <v>15</v>
      </c>
      <c r="K8" s="45" t="s">
        <v>16</v>
      </c>
      <c r="L8" s="45"/>
      <c r="M8" s="77" t="e">
        <f>ROUND(#REF!+(#REF!*6/100),2)</f>
        <v>#REF!</v>
      </c>
      <c r="N8" s="65" t="s">
        <v>101</v>
      </c>
      <c r="O8" s="46" t="s">
        <v>26</v>
      </c>
      <c r="P8" s="43"/>
      <c r="Q8" s="47">
        <v>0.1</v>
      </c>
      <c r="R8" s="85">
        <f t="shared" si="1"/>
        <v>0.08</v>
      </c>
    </row>
    <row r="9" spans="1:19" ht="21.95" customHeight="1">
      <c r="A9" s="244"/>
      <c r="B9" s="65"/>
      <c r="C9" s="42" t="s">
        <v>106</v>
      </c>
      <c r="D9" s="43" t="s">
        <v>15</v>
      </c>
      <c r="E9" s="44">
        <v>5</v>
      </c>
      <c r="F9" s="45" t="s">
        <v>16</v>
      </c>
      <c r="G9" s="69" t="s">
        <v>107</v>
      </c>
      <c r="H9" s="73" t="s">
        <v>106</v>
      </c>
      <c r="I9" s="43" t="s">
        <v>15</v>
      </c>
      <c r="J9" s="45">
        <f t="shared" si="0"/>
        <v>3.75</v>
      </c>
      <c r="K9" s="45" t="s">
        <v>16</v>
      </c>
      <c r="L9" s="45" t="s">
        <v>107</v>
      </c>
      <c r="M9" s="77" t="e">
        <f>#REF!</f>
        <v>#REF!</v>
      </c>
      <c r="N9" s="65" t="s">
        <v>102</v>
      </c>
      <c r="O9" s="46" t="s">
        <v>108</v>
      </c>
      <c r="P9" s="43"/>
      <c r="Q9" s="47">
        <v>0.01</v>
      </c>
      <c r="R9" s="85">
        <f t="shared" si="1"/>
        <v>0.01</v>
      </c>
    </row>
    <row r="10" spans="1:19" ht="21.95" customHeight="1">
      <c r="A10" s="244"/>
      <c r="B10" s="65"/>
      <c r="C10" s="42" t="s">
        <v>38</v>
      </c>
      <c r="D10" s="43" t="s">
        <v>39</v>
      </c>
      <c r="E10" s="44">
        <v>5</v>
      </c>
      <c r="F10" s="45" t="s">
        <v>40</v>
      </c>
      <c r="G10" s="69" t="s">
        <v>14</v>
      </c>
      <c r="H10" s="73" t="s">
        <v>38</v>
      </c>
      <c r="I10" s="43" t="s">
        <v>39</v>
      </c>
      <c r="J10" s="45">
        <f t="shared" si="0"/>
        <v>3.75</v>
      </c>
      <c r="K10" s="45" t="s">
        <v>40</v>
      </c>
      <c r="L10" s="45" t="s">
        <v>14</v>
      </c>
      <c r="M10" s="77" t="e">
        <f>#REF!</f>
        <v>#REF!</v>
      </c>
      <c r="N10" s="65" t="s">
        <v>103</v>
      </c>
      <c r="O10" s="46" t="s">
        <v>32</v>
      </c>
      <c r="P10" s="43"/>
      <c r="Q10" s="47">
        <v>2</v>
      </c>
      <c r="R10" s="85">
        <f t="shared" si="1"/>
        <v>1.5</v>
      </c>
    </row>
    <row r="11" spans="1:19" ht="21.95" customHeight="1">
      <c r="A11" s="244"/>
      <c r="B11" s="65"/>
      <c r="C11" s="42" t="s">
        <v>109</v>
      </c>
      <c r="D11" s="43"/>
      <c r="E11" s="44">
        <v>20</v>
      </c>
      <c r="F11" s="45" t="s">
        <v>16</v>
      </c>
      <c r="G11" s="69"/>
      <c r="H11" s="73" t="s">
        <v>109</v>
      </c>
      <c r="I11" s="43"/>
      <c r="J11" s="45">
        <f t="shared" si="0"/>
        <v>15</v>
      </c>
      <c r="K11" s="45" t="s">
        <v>16</v>
      </c>
      <c r="L11" s="45"/>
      <c r="M11" s="77" t="e">
        <f>#REF!</f>
        <v>#REF!</v>
      </c>
      <c r="N11" s="65" t="s">
        <v>104</v>
      </c>
      <c r="O11" s="46" t="s">
        <v>49</v>
      </c>
      <c r="P11" s="43"/>
      <c r="Q11" s="47">
        <v>30</v>
      </c>
      <c r="R11" s="85">
        <f t="shared" si="1"/>
        <v>22.5</v>
      </c>
    </row>
    <row r="12" spans="1:19" ht="21.95" customHeight="1">
      <c r="A12" s="244"/>
      <c r="B12" s="65"/>
      <c r="C12" s="42" t="s">
        <v>111</v>
      </c>
      <c r="D12" s="43"/>
      <c r="E12" s="44">
        <v>0.5</v>
      </c>
      <c r="F12" s="45" t="s">
        <v>16</v>
      </c>
      <c r="G12" s="69"/>
      <c r="H12" s="73" t="s">
        <v>111</v>
      </c>
      <c r="I12" s="43"/>
      <c r="J12" s="45">
        <f t="shared" si="0"/>
        <v>0.38</v>
      </c>
      <c r="K12" s="45" t="s">
        <v>16</v>
      </c>
      <c r="L12" s="45"/>
      <c r="M12" s="77" t="e">
        <f>ROUND(#REF!+(#REF!*10/100),2)</f>
        <v>#REF!</v>
      </c>
      <c r="N12" s="65" t="s">
        <v>29</v>
      </c>
      <c r="O12" s="46" t="s">
        <v>76</v>
      </c>
      <c r="P12" s="43"/>
      <c r="Q12" s="47">
        <v>3</v>
      </c>
      <c r="R12" s="85">
        <f t="shared" si="1"/>
        <v>2.25</v>
      </c>
    </row>
    <row r="13" spans="1:19" ht="21.95" customHeight="1">
      <c r="A13" s="244"/>
      <c r="B13" s="65"/>
      <c r="C13" s="42"/>
      <c r="D13" s="43"/>
      <c r="E13" s="44"/>
      <c r="F13" s="45"/>
      <c r="G13" s="69"/>
      <c r="H13" s="73"/>
      <c r="I13" s="43"/>
      <c r="J13" s="45"/>
      <c r="K13" s="45"/>
      <c r="L13" s="45"/>
      <c r="M13" s="77"/>
      <c r="N13" s="65"/>
      <c r="O13" s="46" t="s">
        <v>110</v>
      </c>
      <c r="P13" s="43"/>
      <c r="Q13" s="47">
        <v>1.5</v>
      </c>
      <c r="R13" s="85">
        <f t="shared" si="1"/>
        <v>1.1300000000000001</v>
      </c>
    </row>
    <row r="14" spans="1:19" ht="21.95" customHeight="1">
      <c r="A14" s="244"/>
      <c r="B14" s="65"/>
      <c r="C14" s="42"/>
      <c r="D14" s="43"/>
      <c r="E14" s="44"/>
      <c r="F14" s="45"/>
      <c r="G14" s="69"/>
      <c r="H14" s="73"/>
      <c r="I14" s="43"/>
      <c r="J14" s="45"/>
      <c r="K14" s="45"/>
      <c r="L14" s="45"/>
      <c r="M14" s="77"/>
      <c r="N14" s="65"/>
      <c r="O14" s="46" t="s">
        <v>25</v>
      </c>
      <c r="P14" s="43"/>
      <c r="Q14" s="47">
        <v>2.5</v>
      </c>
      <c r="R14" s="85">
        <f t="shared" si="1"/>
        <v>1.8800000000000001</v>
      </c>
    </row>
    <row r="15" spans="1:19" ht="21.95" customHeight="1">
      <c r="A15" s="244"/>
      <c r="B15" s="65"/>
      <c r="C15" s="42"/>
      <c r="D15" s="43"/>
      <c r="E15" s="44"/>
      <c r="F15" s="45"/>
      <c r="G15" s="69"/>
      <c r="H15" s="73"/>
      <c r="I15" s="43"/>
      <c r="J15" s="45"/>
      <c r="K15" s="45"/>
      <c r="L15" s="45"/>
      <c r="M15" s="77"/>
      <c r="N15" s="65"/>
      <c r="O15" s="46" t="s">
        <v>33</v>
      </c>
      <c r="P15" s="43"/>
      <c r="Q15" s="47">
        <v>1</v>
      </c>
      <c r="R15" s="85">
        <f t="shared" si="1"/>
        <v>0.75</v>
      </c>
    </row>
    <row r="16" spans="1:19" ht="21.95" customHeight="1">
      <c r="A16" s="244"/>
      <c r="B16" s="66"/>
      <c r="C16" s="49"/>
      <c r="D16" s="50"/>
      <c r="E16" s="51"/>
      <c r="F16" s="52"/>
      <c r="G16" s="70"/>
      <c r="H16" s="74"/>
      <c r="I16" s="50"/>
      <c r="J16" s="52"/>
      <c r="K16" s="52"/>
      <c r="L16" s="52"/>
      <c r="M16" s="78"/>
      <c r="N16" s="66"/>
      <c r="O16" s="53"/>
      <c r="P16" s="50"/>
      <c r="Q16" s="54"/>
      <c r="R16" s="86"/>
    </row>
    <row r="17" spans="1:18" ht="21.95" customHeight="1">
      <c r="A17" s="244"/>
      <c r="B17" s="65" t="s">
        <v>112</v>
      </c>
      <c r="C17" s="42" t="s">
        <v>61</v>
      </c>
      <c r="D17" s="43"/>
      <c r="E17" s="44">
        <v>30</v>
      </c>
      <c r="F17" s="45" t="s">
        <v>16</v>
      </c>
      <c r="G17" s="69"/>
      <c r="H17" s="73" t="s">
        <v>61</v>
      </c>
      <c r="I17" s="43"/>
      <c r="J17" s="45">
        <f>ROUNDUP(E17*0.75,2)</f>
        <v>22.5</v>
      </c>
      <c r="K17" s="45" t="s">
        <v>16</v>
      </c>
      <c r="L17" s="45"/>
      <c r="M17" s="77" t="e">
        <f>ROUND(#REF!+(#REF!*10/100),2)</f>
        <v>#REF!</v>
      </c>
      <c r="N17" s="65" t="s">
        <v>113</v>
      </c>
      <c r="O17" s="46" t="s">
        <v>33</v>
      </c>
      <c r="P17" s="43"/>
      <c r="Q17" s="47">
        <v>1</v>
      </c>
      <c r="R17" s="85">
        <f>ROUNDUP(Q17*0.75,2)</f>
        <v>0.75</v>
      </c>
    </row>
    <row r="18" spans="1:18" ht="21.95" customHeight="1">
      <c r="A18" s="244"/>
      <c r="B18" s="65"/>
      <c r="C18" s="42" t="s">
        <v>20</v>
      </c>
      <c r="D18" s="43"/>
      <c r="E18" s="44">
        <v>10</v>
      </c>
      <c r="F18" s="45" t="s">
        <v>16</v>
      </c>
      <c r="G18" s="69"/>
      <c r="H18" s="73" t="s">
        <v>20</v>
      </c>
      <c r="I18" s="43"/>
      <c r="J18" s="45">
        <f>ROUNDUP(E18*0.75,2)</f>
        <v>7.5</v>
      </c>
      <c r="K18" s="45" t="s">
        <v>16</v>
      </c>
      <c r="L18" s="45"/>
      <c r="M18" s="77" t="e">
        <f>ROUND(#REF!+(#REF!*3/100),2)</f>
        <v>#REF!</v>
      </c>
      <c r="N18" s="65" t="s">
        <v>114</v>
      </c>
      <c r="O18" s="46" t="s">
        <v>27</v>
      </c>
      <c r="P18" s="43" t="s">
        <v>15</v>
      </c>
      <c r="Q18" s="47">
        <v>1</v>
      </c>
      <c r="R18" s="85">
        <f>ROUNDUP(Q18*0.75,2)</f>
        <v>0.75</v>
      </c>
    </row>
    <row r="19" spans="1:18" ht="21.95" customHeight="1">
      <c r="A19" s="244"/>
      <c r="B19" s="65"/>
      <c r="C19" s="42"/>
      <c r="D19" s="43"/>
      <c r="E19" s="44"/>
      <c r="F19" s="45"/>
      <c r="G19" s="69"/>
      <c r="H19" s="73"/>
      <c r="I19" s="43"/>
      <c r="J19" s="45"/>
      <c r="K19" s="45"/>
      <c r="L19" s="45"/>
      <c r="M19" s="77"/>
      <c r="N19" s="65" t="s">
        <v>13</v>
      </c>
      <c r="O19" s="46" t="s">
        <v>91</v>
      </c>
      <c r="P19" s="43"/>
      <c r="Q19" s="47">
        <v>1</v>
      </c>
      <c r="R19" s="85">
        <f>ROUNDUP(Q19*0.75,2)</f>
        <v>0.75</v>
      </c>
    </row>
    <row r="20" spans="1:18" ht="21.95" customHeight="1">
      <c r="A20" s="244"/>
      <c r="B20" s="65"/>
      <c r="C20" s="42"/>
      <c r="D20" s="43"/>
      <c r="E20" s="44"/>
      <c r="F20" s="45"/>
      <c r="G20" s="69"/>
      <c r="H20" s="73"/>
      <c r="I20" s="43"/>
      <c r="J20" s="45"/>
      <c r="K20" s="45"/>
      <c r="L20" s="45"/>
      <c r="M20" s="77"/>
      <c r="N20" s="65"/>
      <c r="O20" s="46" t="s">
        <v>32</v>
      </c>
      <c r="P20" s="43"/>
      <c r="Q20" s="47">
        <v>2</v>
      </c>
      <c r="R20" s="85">
        <f>ROUNDUP(Q20*0.75,2)</f>
        <v>1.5</v>
      </c>
    </row>
    <row r="21" spans="1:18" ht="21.95" customHeight="1">
      <c r="A21" s="244"/>
      <c r="B21" s="66"/>
      <c r="C21" s="49"/>
      <c r="D21" s="50"/>
      <c r="E21" s="51"/>
      <c r="F21" s="52"/>
      <c r="G21" s="70"/>
      <c r="H21" s="74"/>
      <c r="I21" s="50"/>
      <c r="J21" s="52"/>
      <c r="K21" s="52"/>
      <c r="L21" s="52"/>
      <c r="M21" s="78"/>
      <c r="N21" s="66"/>
      <c r="O21" s="53"/>
      <c r="P21" s="50"/>
      <c r="Q21" s="54"/>
      <c r="R21" s="86"/>
    </row>
    <row r="22" spans="1:18" ht="21.95" customHeight="1">
      <c r="A22" s="244"/>
      <c r="B22" s="65" t="s">
        <v>92</v>
      </c>
      <c r="C22" s="42" t="s">
        <v>21</v>
      </c>
      <c r="D22" s="43" t="s">
        <v>22</v>
      </c>
      <c r="E22" s="62">
        <v>0.125</v>
      </c>
      <c r="F22" s="45" t="s">
        <v>23</v>
      </c>
      <c r="G22" s="69"/>
      <c r="H22" s="73" t="s">
        <v>21</v>
      </c>
      <c r="I22" s="43" t="s">
        <v>22</v>
      </c>
      <c r="J22" s="45">
        <f>ROUNDUP(E22*0.75,2)</f>
        <v>9.9999999999999992E-2</v>
      </c>
      <c r="K22" s="45" t="s">
        <v>23</v>
      </c>
      <c r="L22" s="45"/>
      <c r="M22" s="77" t="e">
        <f>#REF!</f>
        <v>#REF!</v>
      </c>
      <c r="N22" s="65" t="s">
        <v>13</v>
      </c>
      <c r="O22" s="46" t="s">
        <v>24</v>
      </c>
      <c r="P22" s="43"/>
      <c r="Q22" s="47">
        <v>100</v>
      </c>
      <c r="R22" s="85">
        <f>ROUNDUP(Q22*0.75,2)</f>
        <v>75</v>
      </c>
    </row>
    <row r="23" spans="1:18" ht="21.95" customHeight="1">
      <c r="A23" s="244"/>
      <c r="B23" s="65"/>
      <c r="C23" s="42" t="s">
        <v>65</v>
      </c>
      <c r="D23" s="43" t="s">
        <v>15</v>
      </c>
      <c r="E23" s="63">
        <v>0.1</v>
      </c>
      <c r="F23" s="45" t="s">
        <v>63</v>
      </c>
      <c r="G23" s="69"/>
      <c r="H23" s="73" t="s">
        <v>65</v>
      </c>
      <c r="I23" s="43" t="s">
        <v>15</v>
      </c>
      <c r="J23" s="45">
        <f>ROUNDUP(E23*0.75,2)</f>
        <v>0.08</v>
      </c>
      <c r="K23" s="45" t="s">
        <v>63</v>
      </c>
      <c r="L23" s="45"/>
      <c r="M23" s="77"/>
      <c r="N23" s="65"/>
      <c r="O23" s="46" t="s">
        <v>94</v>
      </c>
      <c r="P23" s="43"/>
      <c r="Q23" s="47">
        <v>3</v>
      </c>
      <c r="R23" s="85">
        <f>ROUNDUP(Q23*0.75,2)</f>
        <v>2.25</v>
      </c>
    </row>
    <row r="24" spans="1:18" ht="21.95" customHeight="1" thickBot="1">
      <c r="A24" s="245"/>
      <c r="B24" s="67"/>
      <c r="C24" s="56"/>
      <c r="D24" s="57"/>
      <c r="E24" s="58"/>
      <c r="F24" s="59"/>
      <c r="G24" s="71"/>
      <c r="H24" s="75"/>
      <c r="I24" s="57"/>
      <c r="J24" s="59"/>
      <c r="K24" s="59"/>
      <c r="L24" s="59"/>
      <c r="M24" s="79"/>
      <c r="N24" s="67"/>
      <c r="O24" s="60"/>
      <c r="P24" s="57"/>
      <c r="Q24" s="61"/>
      <c r="R24" s="87"/>
    </row>
    <row r="25" spans="1:18" ht="21.95" customHeight="1"/>
  </sheetData>
  <mergeCells count="4">
    <mergeCell ref="H1:N1"/>
    <mergeCell ref="A2:R2"/>
    <mergeCell ref="A3:F3"/>
    <mergeCell ref="A5:A24"/>
  </mergeCells>
  <phoneticPr fontId="17"/>
  <printOptions horizontalCentered="1" verticalCentered="1"/>
  <pageMargins left="0.39370078740157483" right="0.39370078740157483" top="0.39370078740157483" bottom="0.39370078740157483" header="0.39370078740157483" footer="0.39370078740157483"/>
  <pageSetup paperSize="12" scale="5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5"/>
  <sheetViews>
    <sheetView showZeros="0" zoomScale="60" zoomScaleNormal="60" zoomScaleSheetLayoutView="80" workbookViewId="0"/>
  </sheetViews>
  <sheetFormatPr defaultRowHeight="18.75" customHeight="1"/>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c r="A1" s="1" t="s">
        <v>12</v>
      </c>
      <c r="B1" s="1"/>
      <c r="C1" s="2"/>
      <c r="D1" s="3"/>
      <c r="E1" s="2"/>
      <c r="F1" s="2"/>
      <c r="G1" s="2"/>
      <c r="H1" s="239"/>
      <c r="I1" s="239"/>
      <c r="J1" s="240"/>
      <c r="K1" s="240"/>
      <c r="L1" s="240"/>
      <c r="M1" s="240"/>
      <c r="N1" s="240"/>
      <c r="O1" s="2"/>
      <c r="P1" s="2"/>
      <c r="Q1" s="4"/>
      <c r="R1" s="4"/>
      <c r="S1" s="3"/>
    </row>
    <row r="2" spans="1:19" ht="36.75" customHeight="1">
      <c r="A2" s="239" t="s">
        <v>0</v>
      </c>
      <c r="B2" s="239"/>
      <c r="C2" s="240"/>
      <c r="D2" s="240"/>
      <c r="E2" s="240"/>
      <c r="F2" s="240"/>
      <c r="G2" s="240"/>
      <c r="H2" s="240"/>
      <c r="I2" s="240"/>
      <c r="J2" s="240"/>
      <c r="K2" s="240"/>
      <c r="L2" s="240"/>
      <c r="M2" s="240"/>
      <c r="N2" s="240"/>
      <c r="O2" s="240"/>
      <c r="P2" s="240"/>
      <c r="Q2" s="240"/>
      <c r="R2" s="240"/>
      <c r="S2" s="3"/>
    </row>
    <row r="3" spans="1:19" ht="27.75" customHeight="1" thickBot="1">
      <c r="A3" s="241" t="s">
        <v>226</v>
      </c>
      <c r="B3" s="242"/>
      <c r="C3" s="242"/>
      <c r="D3" s="242"/>
      <c r="E3" s="242"/>
      <c r="F3" s="242"/>
      <c r="G3" s="2"/>
      <c r="H3" s="2"/>
      <c r="I3" s="12"/>
      <c r="J3" s="2"/>
      <c r="K3" s="7"/>
      <c r="L3" s="7"/>
      <c r="M3" s="10"/>
      <c r="N3" s="2"/>
      <c r="O3" s="13"/>
      <c r="P3" s="12"/>
      <c r="Q3" s="14"/>
      <c r="R3" s="14"/>
      <c r="S3" s="11"/>
    </row>
    <row r="4" spans="1:19" customFormat="1" ht="42" customHeight="1" thickBot="1">
      <c r="A4" s="15"/>
      <c r="B4" s="16" t="s">
        <v>1</v>
      </c>
      <c r="C4" s="17" t="s">
        <v>2</v>
      </c>
      <c r="D4" s="18" t="s">
        <v>281</v>
      </c>
      <c r="E4" s="34" t="s">
        <v>6</v>
      </c>
      <c r="F4" s="19" t="s">
        <v>4</v>
      </c>
      <c r="G4" s="17" t="s">
        <v>5</v>
      </c>
      <c r="H4" s="16" t="s">
        <v>2</v>
      </c>
      <c r="I4" s="18" t="s">
        <v>281</v>
      </c>
      <c r="J4" s="35" t="s">
        <v>3</v>
      </c>
      <c r="K4" s="19" t="s">
        <v>4</v>
      </c>
      <c r="L4" s="19" t="s">
        <v>5</v>
      </c>
      <c r="M4" s="21" t="s">
        <v>7</v>
      </c>
      <c r="N4" s="22" t="s">
        <v>8</v>
      </c>
      <c r="O4" s="19" t="s">
        <v>9</v>
      </c>
      <c r="P4" s="23" t="s">
        <v>281</v>
      </c>
      <c r="Q4" s="20" t="s">
        <v>11</v>
      </c>
      <c r="R4" s="24" t="s">
        <v>10</v>
      </c>
      <c r="S4" s="25"/>
    </row>
    <row r="5" spans="1:19" ht="21.95" customHeight="1">
      <c r="A5" s="243" t="s">
        <v>37</v>
      </c>
      <c r="B5" s="64" t="s">
        <v>53</v>
      </c>
      <c r="C5" s="36"/>
      <c r="D5" s="37"/>
      <c r="E5" s="38"/>
      <c r="F5" s="39"/>
      <c r="G5" s="68"/>
      <c r="H5" s="72"/>
      <c r="I5" s="37"/>
      <c r="J5" s="39"/>
      <c r="K5" s="39"/>
      <c r="L5" s="39"/>
      <c r="M5" s="76"/>
      <c r="N5" s="64"/>
      <c r="O5" s="40" t="s">
        <v>53</v>
      </c>
      <c r="P5" s="37"/>
      <c r="Q5" s="41">
        <v>110</v>
      </c>
      <c r="R5" s="84">
        <f>ROUNDUP(Q5*0.75,2)</f>
        <v>82.5</v>
      </c>
    </row>
    <row r="6" spans="1:19" ht="21.95" customHeight="1">
      <c r="A6" s="244"/>
      <c r="B6" s="66"/>
      <c r="C6" s="49"/>
      <c r="D6" s="50"/>
      <c r="E6" s="51"/>
      <c r="F6" s="52"/>
      <c r="G6" s="70"/>
      <c r="H6" s="74"/>
      <c r="I6" s="50"/>
      <c r="J6" s="52"/>
      <c r="K6" s="52"/>
      <c r="L6" s="52"/>
      <c r="M6" s="78"/>
      <c r="N6" s="66"/>
      <c r="O6" s="53"/>
      <c r="P6" s="50"/>
      <c r="Q6" s="54"/>
      <c r="R6" s="86"/>
    </row>
    <row r="7" spans="1:19" ht="21.95" customHeight="1">
      <c r="A7" s="244"/>
      <c r="B7" s="65" t="s">
        <v>126</v>
      </c>
      <c r="C7" s="42" t="s">
        <v>130</v>
      </c>
      <c r="D7" s="43"/>
      <c r="E7" s="44">
        <v>1</v>
      </c>
      <c r="F7" s="45" t="s">
        <v>119</v>
      </c>
      <c r="G7" s="69" t="s">
        <v>131</v>
      </c>
      <c r="H7" s="73" t="s">
        <v>130</v>
      </c>
      <c r="I7" s="43"/>
      <c r="J7" s="45">
        <f>ROUNDUP(E7*0.75,2)</f>
        <v>0.75</v>
      </c>
      <c r="K7" s="45" t="s">
        <v>119</v>
      </c>
      <c r="L7" s="45" t="s">
        <v>131</v>
      </c>
      <c r="M7" s="77" t="e">
        <f>#REF!</f>
        <v>#REF!</v>
      </c>
      <c r="N7" s="65" t="s">
        <v>127</v>
      </c>
      <c r="O7" s="46" t="s">
        <v>32</v>
      </c>
      <c r="P7" s="43"/>
      <c r="Q7" s="47">
        <v>2</v>
      </c>
      <c r="R7" s="85">
        <f t="shared" ref="R7:R12" si="0">ROUNDUP(Q7*0.75,2)</f>
        <v>1.5</v>
      </c>
    </row>
    <row r="8" spans="1:19" ht="21.95" customHeight="1">
      <c r="A8" s="244"/>
      <c r="B8" s="65"/>
      <c r="C8" s="42" t="s">
        <v>132</v>
      </c>
      <c r="D8" s="43"/>
      <c r="E8" s="44">
        <v>20</v>
      </c>
      <c r="F8" s="45" t="s">
        <v>16</v>
      </c>
      <c r="G8" s="69"/>
      <c r="H8" s="73" t="s">
        <v>132</v>
      </c>
      <c r="I8" s="43"/>
      <c r="J8" s="45">
        <f>ROUNDUP(E8*0.75,2)</f>
        <v>15</v>
      </c>
      <c r="K8" s="45" t="s">
        <v>16</v>
      </c>
      <c r="L8" s="45"/>
      <c r="M8" s="77" t="e">
        <f>ROUND(#REF!+(#REF!*15/100),2)</f>
        <v>#REF!</v>
      </c>
      <c r="N8" s="65" t="s">
        <v>128</v>
      </c>
      <c r="O8" s="46" t="s">
        <v>27</v>
      </c>
      <c r="P8" s="43" t="s">
        <v>15</v>
      </c>
      <c r="Q8" s="47">
        <v>1</v>
      </c>
      <c r="R8" s="85">
        <f t="shared" si="0"/>
        <v>0.75</v>
      </c>
    </row>
    <row r="9" spans="1:19" ht="21.95" customHeight="1">
      <c r="A9" s="244"/>
      <c r="B9" s="65"/>
      <c r="C9" s="42" t="s">
        <v>133</v>
      </c>
      <c r="D9" s="43"/>
      <c r="E9" s="44">
        <v>1</v>
      </c>
      <c r="F9" s="45" t="s">
        <v>16</v>
      </c>
      <c r="G9" s="69" t="s">
        <v>31</v>
      </c>
      <c r="H9" s="73" t="s">
        <v>133</v>
      </c>
      <c r="I9" s="43"/>
      <c r="J9" s="45">
        <f>ROUNDUP(E9*0.75,2)</f>
        <v>0.75</v>
      </c>
      <c r="K9" s="45" t="s">
        <v>16</v>
      </c>
      <c r="L9" s="45" t="s">
        <v>31</v>
      </c>
      <c r="M9" s="77" t="e">
        <f>#REF!</f>
        <v>#REF!</v>
      </c>
      <c r="N9" s="65" t="s">
        <v>129</v>
      </c>
      <c r="O9" s="46" t="s">
        <v>25</v>
      </c>
      <c r="P9" s="43"/>
      <c r="Q9" s="47">
        <v>2</v>
      </c>
      <c r="R9" s="85">
        <f t="shared" si="0"/>
        <v>1.5</v>
      </c>
    </row>
    <row r="10" spans="1:19" ht="21.95" customHeight="1">
      <c r="A10" s="244"/>
      <c r="B10" s="65"/>
      <c r="C10" s="42"/>
      <c r="D10" s="43"/>
      <c r="E10" s="44"/>
      <c r="F10" s="45"/>
      <c r="G10" s="69"/>
      <c r="H10" s="73"/>
      <c r="I10" s="43"/>
      <c r="J10" s="45"/>
      <c r="K10" s="45"/>
      <c r="L10" s="45"/>
      <c r="M10" s="77"/>
      <c r="N10" s="65" t="s">
        <v>13</v>
      </c>
      <c r="O10" s="46" t="s">
        <v>60</v>
      </c>
      <c r="P10" s="43"/>
      <c r="Q10" s="47">
        <v>0.5</v>
      </c>
      <c r="R10" s="85">
        <f t="shared" si="0"/>
        <v>0.38</v>
      </c>
    </row>
    <row r="11" spans="1:19" ht="21.95" customHeight="1">
      <c r="A11" s="244"/>
      <c r="B11" s="65"/>
      <c r="C11" s="42"/>
      <c r="D11" s="43"/>
      <c r="E11" s="44"/>
      <c r="F11" s="45"/>
      <c r="G11" s="69"/>
      <c r="H11" s="73"/>
      <c r="I11" s="43"/>
      <c r="J11" s="45"/>
      <c r="K11" s="45"/>
      <c r="L11" s="45"/>
      <c r="M11" s="77"/>
      <c r="N11" s="65"/>
      <c r="O11" s="46" t="s">
        <v>27</v>
      </c>
      <c r="P11" s="43" t="s">
        <v>15</v>
      </c>
      <c r="Q11" s="47">
        <v>0.5</v>
      </c>
      <c r="R11" s="85">
        <f t="shared" si="0"/>
        <v>0.38</v>
      </c>
    </row>
    <row r="12" spans="1:19" ht="21.95" customHeight="1">
      <c r="A12" s="244"/>
      <c r="B12" s="65"/>
      <c r="C12" s="42"/>
      <c r="D12" s="43"/>
      <c r="E12" s="44"/>
      <c r="F12" s="45"/>
      <c r="G12" s="69"/>
      <c r="H12" s="73"/>
      <c r="I12" s="43"/>
      <c r="J12" s="45"/>
      <c r="K12" s="45"/>
      <c r="L12" s="45"/>
      <c r="M12" s="77"/>
      <c r="N12" s="65"/>
      <c r="O12" s="46" t="s">
        <v>24</v>
      </c>
      <c r="P12" s="43"/>
      <c r="Q12" s="47">
        <v>1</v>
      </c>
      <c r="R12" s="85">
        <f t="shared" si="0"/>
        <v>0.75</v>
      </c>
    </row>
    <row r="13" spans="1:19" ht="21.95" customHeight="1">
      <c r="A13" s="244"/>
      <c r="B13" s="66"/>
      <c r="C13" s="49"/>
      <c r="D13" s="50"/>
      <c r="E13" s="51"/>
      <c r="F13" s="52"/>
      <c r="G13" s="70"/>
      <c r="H13" s="74"/>
      <c r="I13" s="50"/>
      <c r="J13" s="52"/>
      <c r="K13" s="52"/>
      <c r="L13" s="52"/>
      <c r="M13" s="78"/>
      <c r="N13" s="66"/>
      <c r="O13" s="53"/>
      <c r="P13" s="50"/>
      <c r="Q13" s="54"/>
      <c r="R13" s="86"/>
    </row>
    <row r="14" spans="1:19" ht="21.95" customHeight="1">
      <c r="A14" s="244"/>
      <c r="B14" s="65" t="s">
        <v>134</v>
      </c>
      <c r="C14" s="42" t="s">
        <v>115</v>
      </c>
      <c r="D14" s="43"/>
      <c r="E14" s="81">
        <v>0.25</v>
      </c>
      <c r="F14" s="45" t="s">
        <v>116</v>
      </c>
      <c r="G14" s="69" t="s">
        <v>14</v>
      </c>
      <c r="H14" s="73" t="s">
        <v>115</v>
      </c>
      <c r="I14" s="43"/>
      <c r="J14" s="45">
        <f>ROUNDUP(E14*0.75,2)</f>
        <v>0.19</v>
      </c>
      <c r="K14" s="45" t="s">
        <v>116</v>
      </c>
      <c r="L14" s="45" t="s">
        <v>14</v>
      </c>
      <c r="M14" s="77" t="e">
        <f>#REF!</f>
        <v>#REF!</v>
      </c>
      <c r="N14" s="65" t="s">
        <v>255</v>
      </c>
      <c r="O14" s="46" t="s">
        <v>60</v>
      </c>
      <c r="P14" s="43"/>
      <c r="Q14" s="47">
        <v>0.5</v>
      </c>
      <c r="R14" s="85">
        <f>ROUNDUP(Q14*0.75,2)</f>
        <v>0.38</v>
      </c>
    </row>
    <row r="15" spans="1:19" ht="21.95" customHeight="1">
      <c r="A15" s="244"/>
      <c r="B15" s="65"/>
      <c r="C15" s="42" t="s">
        <v>59</v>
      </c>
      <c r="D15" s="43"/>
      <c r="E15" s="44">
        <v>10</v>
      </c>
      <c r="F15" s="45" t="s">
        <v>16</v>
      </c>
      <c r="G15" s="69" t="s">
        <v>18</v>
      </c>
      <c r="H15" s="73" t="s">
        <v>59</v>
      </c>
      <c r="I15" s="43"/>
      <c r="J15" s="45">
        <f>ROUNDUP(E15*0.75,2)</f>
        <v>7.5</v>
      </c>
      <c r="K15" s="45" t="s">
        <v>16</v>
      </c>
      <c r="L15" s="45" t="s">
        <v>18</v>
      </c>
      <c r="M15" s="77" t="e">
        <f>#REF!</f>
        <v>#REF!</v>
      </c>
      <c r="N15" s="65" t="s">
        <v>256</v>
      </c>
      <c r="O15" s="46" t="s">
        <v>121</v>
      </c>
      <c r="P15" s="43"/>
      <c r="Q15" s="47">
        <v>1</v>
      </c>
      <c r="R15" s="85">
        <f>ROUNDUP(Q15*0.75,2)</f>
        <v>0.75</v>
      </c>
    </row>
    <row r="16" spans="1:19" ht="21.95" customHeight="1">
      <c r="A16" s="244"/>
      <c r="B16" s="65"/>
      <c r="C16" s="42" t="s">
        <v>66</v>
      </c>
      <c r="D16" s="43"/>
      <c r="E16" s="44">
        <v>5</v>
      </c>
      <c r="F16" s="45" t="s">
        <v>16</v>
      </c>
      <c r="G16" s="69"/>
      <c r="H16" s="73" t="s">
        <v>66</v>
      </c>
      <c r="I16" s="43"/>
      <c r="J16" s="45">
        <f>ROUNDUP(E16*0.75,2)</f>
        <v>3.75</v>
      </c>
      <c r="K16" s="45" t="s">
        <v>16</v>
      </c>
      <c r="L16" s="45"/>
      <c r="M16" s="77" t="e">
        <f>ROUND(#REF!+(#REF!*40/100),2)</f>
        <v>#REF!</v>
      </c>
      <c r="N16" s="65" t="s">
        <v>257</v>
      </c>
      <c r="O16" s="46" t="s">
        <v>24</v>
      </c>
      <c r="P16" s="43"/>
      <c r="Q16" s="47">
        <v>30</v>
      </c>
      <c r="R16" s="85">
        <f>ROUNDUP(Q16*0.75,2)</f>
        <v>22.5</v>
      </c>
    </row>
    <row r="17" spans="1:18" ht="21.95" customHeight="1">
      <c r="A17" s="244"/>
      <c r="B17" s="65"/>
      <c r="C17" s="42" t="s">
        <v>20</v>
      </c>
      <c r="D17" s="43"/>
      <c r="E17" s="44">
        <v>10</v>
      </c>
      <c r="F17" s="45" t="s">
        <v>16</v>
      </c>
      <c r="G17" s="69"/>
      <c r="H17" s="73" t="s">
        <v>20</v>
      </c>
      <c r="I17" s="43"/>
      <c r="J17" s="45">
        <f>ROUNDUP(E17*0.75,2)</f>
        <v>7.5</v>
      </c>
      <c r="K17" s="45" t="s">
        <v>16</v>
      </c>
      <c r="L17" s="45"/>
      <c r="M17" s="77" t="e">
        <f>ROUND(#REF!+(#REF!*3/100),2)</f>
        <v>#REF!</v>
      </c>
      <c r="N17" s="65" t="s">
        <v>29</v>
      </c>
      <c r="O17" s="46" t="s">
        <v>25</v>
      </c>
      <c r="P17" s="43"/>
      <c r="Q17" s="47">
        <v>3</v>
      </c>
      <c r="R17" s="85">
        <f>ROUNDUP(Q17*0.75,2)</f>
        <v>2.25</v>
      </c>
    </row>
    <row r="18" spans="1:18" ht="21.95" customHeight="1">
      <c r="A18" s="244"/>
      <c r="B18" s="65"/>
      <c r="C18" s="42" t="s">
        <v>135</v>
      </c>
      <c r="D18" s="43"/>
      <c r="E18" s="44">
        <v>5</v>
      </c>
      <c r="F18" s="45" t="s">
        <v>16</v>
      </c>
      <c r="G18" s="69" t="s">
        <v>58</v>
      </c>
      <c r="H18" s="73" t="s">
        <v>135</v>
      </c>
      <c r="I18" s="43"/>
      <c r="J18" s="45">
        <f>ROUNDUP(E18*0.75,2)</f>
        <v>3.75</v>
      </c>
      <c r="K18" s="45" t="s">
        <v>16</v>
      </c>
      <c r="L18" s="45" t="s">
        <v>58</v>
      </c>
      <c r="M18" s="77" t="e">
        <f>#REF!</f>
        <v>#REF!</v>
      </c>
      <c r="N18" s="65"/>
      <c r="O18" s="46" t="s">
        <v>27</v>
      </c>
      <c r="P18" s="43" t="s">
        <v>15</v>
      </c>
      <c r="Q18" s="47">
        <v>1.5</v>
      </c>
      <c r="R18" s="85">
        <f>ROUNDUP(Q18*0.75,2)</f>
        <v>1.1300000000000001</v>
      </c>
    </row>
    <row r="19" spans="1:18" ht="21.95" customHeight="1">
      <c r="A19" s="244"/>
      <c r="B19" s="66"/>
      <c r="C19" s="49"/>
      <c r="D19" s="50"/>
      <c r="E19" s="51"/>
      <c r="F19" s="52"/>
      <c r="G19" s="70"/>
      <c r="H19" s="74"/>
      <c r="I19" s="50"/>
      <c r="J19" s="52"/>
      <c r="K19" s="52"/>
      <c r="L19" s="52"/>
      <c r="M19" s="78"/>
      <c r="N19" s="66"/>
      <c r="O19" s="53"/>
      <c r="P19" s="50"/>
      <c r="Q19" s="54"/>
      <c r="R19" s="86"/>
    </row>
    <row r="20" spans="1:18" ht="21.95" customHeight="1">
      <c r="A20" s="244"/>
      <c r="B20" s="65" t="s">
        <v>92</v>
      </c>
      <c r="C20" s="42" t="s">
        <v>136</v>
      </c>
      <c r="D20" s="43"/>
      <c r="E20" s="44">
        <v>20</v>
      </c>
      <c r="F20" s="45" t="s">
        <v>16</v>
      </c>
      <c r="G20" s="69"/>
      <c r="H20" s="73" t="s">
        <v>136</v>
      </c>
      <c r="I20" s="43"/>
      <c r="J20" s="45">
        <f>ROUNDUP(E20*0.75,2)</f>
        <v>15</v>
      </c>
      <c r="K20" s="45" t="s">
        <v>16</v>
      </c>
      <c r="L20" s="45"/>
      <c r="M20" s="77" t="e">
        <f>ROUND(#REF!+(#REF!*10/100),2)</f>
        <v>#REF!</v>
      </c>
      <c r="N20" s="65" t="s">
        <v>13</v>
      </c>
      <c r="O20" s="46" t="s">
        <v>24</v>
      </c>
      <c r="P20" s="43"/>
      <c r="Q20" s="47">
        <v>100</v>
      </c>
      <c r="R20" s="85">
        <f>ROUNDUP(Q20*0.75,2)</f>
        <v>75</v>
      </c>
    </row>
    <row r="21" spans="1:18" ht="21.95" customHeight="1">
      <c r="A21" s="244"/>
      <c r="B21" s="65"/>
      <c r="C21" s="42" t="s">
        <v>80</v>
      </c>
      <c r="D21" s="43"/>
      <c r="E21" s="44">
        <v>0.5</v>
      </c>
      <c r="F21" s="45" t="s">
        <v>16</v>
      </c>
      <c r="G21" s="69" t="s">
        <v>81</v>
      </c>
      <c r="H21" s="73" t="s">
        <v>80</v>
      </c>
      <c r="I21" s="43"/>
      <c r="J21" s="45">
        <f>ROUNDUP(E21*0.75,2)</f>
        <v>0.38</v>
      </c>
      <c r="K21" s="45" t="s">
        <v>16</v>
      </c>
      <c r="L21" s="45" t="s">
        <v>81</v>
      </c>
      <c r="M21" s="77" t="e">
        <f>#REF!</f>
        <v>#REF!</v>
      </c>
      <c r="N21" s="65"/>
      <c r="O21" s="46" t="s">
        <v>94</v>
      </c>
      <c r="P21" s="43"/>
      <c r="Q21" s="47">
        <v>3</v>
      </c>
      <c r="R21" s="85">
        <f>ROUNDUP(Q21*0.75,2)</f>
        <v>2.25</v>
      </c>
    </row>
    <row r="22" spans="1:18" ht="21.95" customHeight="1">
      <c r="A22" s="244"/>
      <c r="B22" s="66"/>
      <c r="C22" s="49"/>
      <c r="D22" s="50"/>
      <c r="E22" s="51"/>
      <c r="F22" s="52"/>
      <c r="G22" s="70"/>
      <c r="H22" s="74"/>
      <c r="I22" s="50"/>
      <c r="J22" s="52"/>
      <c r="K22" s="52"/>
      <c r="L22" s="52"/>
      <c r="M22" s="78"/>
      <c r="N22" s="66"/>
      <c r="O22" s="53"/>
      <c r="P22" s="50"/>
      <c r="Q22" s="54"/>
      <c r="R22" s="86"/>
    </row>
    <row r="23" spans="1:18" ht="21.95" customHeight="1">
      <c r="A23" s="244"/>
      <c r="B23" s="65" t="s">
        <v>137</v>
      </c>
      <c r="C23" s="42" t="s">
        <v>138</v>
      </c>
      <c r="D23" s="43"/>
      <c r="E23" s="81">
        <v>0.25</v>
      </c>
      <c r="F23" s="45" t="s">
        <v>23</v>
      </c>
      <c r="G23" s="69"/>
      <c r="H23" s="73" t="s">
        <v>138</v>
      </c>
      <c r="I23" s="43"/>
      <c r="J23" s="45">
        <f>ROUNDUP(E23*0.75,2)</f>
        <v>0.19</v>
      </c>
      <c r="K23" s="45" t="s">
        <v>23</v>
      </c>
      <c r="L23" s="45"/>
      <c r="M23" s="77" t="e">
        <f>#REF!</f>
        <v>#REF!</v>
      </c>
      <c r="N23" s="65" t="s">
        <v>35</v>
      </c>
      <c r="O23" s="46"/>
      <c r="P23" s="43"/>
      <c r="Q23" s="47"/>
      <c r="R23" s="85"/>
    </row>
    <row r="24" spans="1:18" ht="21.95" customHeight="1" thickBot="1">
      <c r="A24" s="245"/>
      <c r="B24" s="67"/>
      <c r="C24" s="56"/>
      <c r="D24" s="57"/>
      <c r="E24" s="58"/>
      <c r="F24" s="59"/>
      <c r="G24" s="71"/>
      <c r="H24" s="75"/>
      <c r="I24" s="57"/>
      <c r="J24" s="59"/>
      <c r="K24" s="59"/>
      <c r="L24" s="59"/>
      <c r="M24" s="79"/>
      <c r="N24" s="67"/>
      <c r="O24" s="60"/>
      <c r="P24" s="57"/>
      <c r="Q24" s="61"/>
      <c r="R24" s="87"/>
    </row>
    <row r="25" spans="1:18" ht="21.95" customHeight="1"/>
  </sheetData>
  <mergeCells count="4">
    <mergeCell ref="H1:N1"/>
    <mergeCell ref="A2:R2"/>
    <mergeCell ref="A3:F3"/>
    <mergeCell ref="A5:A24"/>
  </mergeCells>
  <phoneticPr fontId="17"/>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5"/>
  <sheetViews>
    <sheetView showZeros="0" zoomScale="60" zoomScaleNormal="60" zoomScaleSheetLayoutView="80" workbookViewId="0"/>
  </sheetViews>
  <sheetFormatPr defaultRowHeight="18.75" customHeight="1"/>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c r="A1" s="1" t="s">
        <v>12</v>
      </c>
      <c r="B1" s="1"/>
      <c r="C1" s="2"/>
      <c r="D1" s="3"/>
      <c r="E1" s="2"/>
      <c r="F1" s="2"/>
      <c r="G1" s="2"/>
      <c r="H1" s="239"/>
      <c r="I1" s="239"/>
      <c r="J1" s="240"/>
      <c r="K1" s="240"/>
      <c r="L1" s="240"/>
      <c r="M1" s="240"/>
      <c r="N1" s="240"/>
      <c r="O1" s="2"/>
      <c r="P1" s="2"/>
      <c r="Q1" s="4"/>
      <c r="R1" s="4"/>
      <c r="S1" s="3"/>
    </row>
    <row r="2" spans="1:19" ht="36.75" customHeight="1">
      <c r="A2" s="239" t="s">
        <v>0</v>
      </c>
      <c r="B2" s="239"/>
      <c r="C2" s="240"/>
      <c r="D2" s="240"/>
      <c r="E2" s="240"/>
      <c r="F2" s="240"/>
      <c r="G2" s="240"/>
      <c r="H2" s="240"/>
      <c r="I2" s="240"/>
      <c r="J2" s="240"/>
      <c r="K2" s="240"/>
      <c r="L2" s="240"/>
      <c r="M2" s="240"/>
      <c r="N2" s="240"/>
      <c r="O2" s="240"/>
      <c r="P2" s="240"/>
      <c r="Q2" s="240"/>
      <c r="R2" s="240"/>
      <c r="S2" s="3"/>
    </row>
    <row r="3" spans="1:19" ht="27.75" customHeight="1" thickBot="1">
      <c r="A3" s="241" t="s">
        <v>227</v>
      </c>
      <c r="B3" s="242"/>
      <c r="C3" s="242"/>
      <c r="D3" s="242"/>
      <c r="E3" s="242"/>
      <c r="F3" s="242"/>
      <c r="G3" s="2"/>
      <c r="H3" s="2"/>
      <c r="I3" s="12"/>
      <c r="J3" s="2"/>
      <c r="K3" s="7"/>
      <c r="L3" s="7"/>
      <c r="M3" s="10"/>
      <c r="N3" s="2"/>
      <c r="O3" s="13"/>
      <c r="P3" s="12"/>
      <c r="Q3" s="14"/>
      <c r="R3" s="14"/>
      <c r="S3" s="11"/>
    </row>
    <row r="4" spans="1:19" customFormat="1" ht="42" customHeight="1" thickBot="1">
      <c r="A4" s="15"/>
      <c r="B4" s="16" t="s">
        <v>1</v>
      </c>
      <c r="C4" s="17" t="s">
        <v>2</v>
      </c>
      <c r="D4" s="18" t="s">
        <v>281</v>
      </c>
      <c r="E4" s="34" t="s">
        <v>6</v>
      </c>
      <c r="F4" s="19" t="s">
        <v>4</v>
      </c>
      <c r="G4" s="17" t="s">
        <v>5</v>
      </c>
      <c r="H4" s="16" t="s">
        <v>2</v>
      </c>
      <c r="I4" s="18" t="s">
        <v>281</v>
      </c>
      <c r="J4" s="35" t="s">
        <v>3</v>
      </c>
      <c r="K4" s="19" t="s">
        <v>4</v>
      </c>
      <c r="L4" s="19" t="s">
        <v>5</v>
      </c>
      <c r="M4" s="21" t="s">
        <v>7</v>
      </c>
      <c r="N4" s="22" t="s">
        <v>8</v>
      </c>
      <c r="O4" s="19" t="s">
        <v>9</v>
      </c>
      <c r="P4" s="23" t="s">
        <v>281</v>
      </c>
      <c r="Q4" s="20" t="s">
        <v>11</v>
      </c>
      <c r="R4" s="24" t="s">
        <v>10</v>
      </c>
      <c r="S4" s="25"/>
    </row>
    <row r="5" spans="1:19" ht="21.95" customHeight="1">
      <c r="A5" s="243" t="s">
        <v>37</v>
      </c>
      <c r="B5" s="64" t="s">
        <v>145</v>
      </c>
      <c r="C5" s="36" t="s">
        <v>147</v>
      </c>
      <c r="D5" s="37" t="s">
        <v>15</v>
      </c>
      <c r="E5" s="38">
        <v>40</v>
      </c>
      <c r="F5" s="39" t="s">
        <v>16</v>
      </c>
      <c r="G5" s="68" t="s">
        <v>148</v>
      </c>
      <c r="H5" s="72" t="s">
        <v>147</v>
      </c>
      <c r="I5" s="37" t="s">
        <v>15</v>
      </c>
      <c r="J5" s="39">
        <f>ROUNDUP(E5*0.75,2)</f>
        <v>30</v>
      </c>
      <c r="K5" s="39" t="s">
        <v>16</v>
      </c>
      <c r="L5" s="39" t="s">
        <v>148</v>
      </c>
      <c r="M5" s="76" t="e">
        <f>#REF!</f>
        <v>#REF!</v>
      </c>
      <c r="N5" s="64" t="s">
        <v>146</v>
      </c>
      <c r="O5" s="40" t="s">
        <v>89</v>
      </c>
      <c r="P5" s="37" t="s">
        <v>39</v>
      </c>
      <c r="Q5" s="41">
        <v>2</v>
      </c>
      <c r="R5" s="84">
        <f>ROUNDUP(Q5*0.75,2)</f>
        <v>1.5</v>
      </c>
    </row>
    <row r="6" spans="1:19" ht="21.95" customHeight="1">
      <c r="A6" s="244"/>
      <c r="B6" s="65"/>
      <c r="C6" s="42" t="s">
        <v>17</v>
      </c>
      <c r="D6" s="43"/>
      <c r="E6" s="44">
        <v>20</v>
      </c>
      <c r="F6" s="45" t="s">
        <v>16</v>
      </c>
      <c r="G6" s="69" t="s">
        <v>18</v>
      </c>
      <c r="H6" s="73" t="s">
        <v>17</v>
      </c>
      <c r="I6" s="43"/>
      <c r="J6" s="45">
        <f>ROUNDUP(E6*0.75,2)</f>
        <v>15</v>
      </c>
      <c r="K6" s="45" t="s">
        <v>16</v>
      </c>
      <c r="L6" s="45" t="s">
        <v>18</v>
      </c>
      <c r="M6" s="77" t="e">
        <f>#REF!</f>
        <v>#REF!</v>
      </c>
      <c r="N6" s="65" t="s">
        <v>258</v>
      </c>
      <c r="O6" s="46" t="s">
        <v>32</v>
      </c>
      <c r="P6" s="43"/>
      <c r="Q6" s="47">
        <v>2</v>
      </c>
      <c r="R6" s="85">
        <f>ROUNDUP(Q6*0.75,2)</f>
        <v>1.5</v>
      </c>
    </row>
    <row r="7" spans="1:19" ht="21.95" customHeight="1">
      <c r="A7" s="244"/>
      <c r="B7" s="65"/>
      <c r="C7" s="42" t="s">
        <v>56</v>
      </c>
      <c r="D7" s="43"/>
      <c r="E7" s="44">
        <v>30</v>
      </c>
      <c r="F7" s="45" t="s">
        <v>16</v>
      </c>
      <c r="G7" s="69"/>
      <c r="H7" s="73" t="s">
        <v>56</v>
      </c>
      <c r="I7" s="43"/>
      <c r="J7" s="45">
        <f>ROUNDUP(E7*0.75,2)</f>
        <v>22.5</v>
      </c>
      <c r="K7" s="45" t="s">
        <v>16</v>
      </c>
      <c r="L7" s="45"/>
      <c r="M7" s="77" t="e">
        <f>ROUND(#REF!+(#REF!*6/100),2)</f>
        <v>#REF!</v>
      </c>
      <c r="N7" s="65" t="s">
        <v>259</v>
      </c>
      <c r="O7" s="46" t="s">
        <v>76</v>
      </c>
      <c r="P7" s="43"/>
      <c r="Q7" s="47">
        <v>10</v>
      </c>
      <c r="R7" s="85">
        <f>ROUNDUP(Q7*0.75,2)</f>
        <v>7.5</v>
      </c>
    </row>
    <row r="8" spans="1:19" ht="21.95" customHeight="1">
      <c r="A8" s="244"/>
      <c r="B8" s="65"/>
      <c r="C8" s="42" t="s">
        <v>149</v>
      </c>
      <c r="D8" s="43"/>
      <c r="E8" s="44">
        <v>5</v>
      </c>
      <c r="F8" s="45" t="s">
        <v>16</v>
      </c>
      <c r="G8" s="69"/>
      <c r="H8" s="73" t="s">
        <v>149</v>
      </c>
      <c r="I8" s="43"/>
      <c r="J8" s="45">
        <f>ROUNDUP(E8*0.75,2)</f>
        <v>3.75</v>
      </c>
      <c r="K8" s="45" t="s">
        <v>16</v>
      </c>
      <c r="L8" s="45"/>
      <c r="M8" s="77" t="e">
        <f>ROUND(#REF!+(#REF!*15/100),2)</f>
        <v>#REF!</v>
      </c>
      <c r="N8" s="65" t="s">
        <v>13</v>
      </c>
      <c r="O8" s="46" t="s">
        <v>110</v>
      </c>
      <c r="P8" s="43"/>
      <c r="Q8" s="47">
        <v>2</v>
      </c>
      <c r="R8" s="85">
        <f>ROUNDUP(Q8*0.75,2)</f>
        <v>1.5</v>
      </c>
    </row>
    <row r="9" spans="1:19" ht="21.95" customHeight="1">
      <c r="A9" s="244"/>
      <c r="B9" s="65"/>
      <c r="C9" s="42"/>
      <c r="D9" s="43"/>
      <c r="E9" s="44"/>
      <c r="F9" s="45"/>
      <c r="G9" s="69"/>
      <c r="H9" s="73"/>
      <c r="I9" s="43"/>
      <c r="J9" s="45"/>
      <c r="K9" s="45"/>
      <c r="L9" s="45"/>
      <c r="M9" s="77"/>
      <c r="N9" s="65"/>
      <c r="O9" s="46" t="s">
        <v>33</v>
      </c>
      <c r="P9" s="43"/>
      <c r="Q9" s="47">
        <v>0.5</v>
      </c>
      <c r="R9" s="85">
        <f>ROUNDUP(Q9*0.75,2)</f>
        <v>0.38</v>
      </c>
    </row>
    <row r="10" spans="1:19" ht="21.95" customHeight="1">
      <c r="A10" s="244"/>
      <c r="B10" s="66"/>
      <c r="C10" s="49"/>
      <c r="D10" s="50"/>
      <c r="E10" s="51"/>
      <c r="F10" s="52"/>
      <c r="G10" s="70"/>
      <c r="H10" s="74"/>
      <c r="I10" s="50"/>
      <c r="J10" s="52"/>
      <c r="K10" s="52"/>
      <c r="L10" s="52"/>
      <c r="M10" s="78"/>
      <c r="N10" s="66"/>
      <c r="O10" s="53"/>
      <c r="P10" s="50"/>
      <c r="Q10" s="54"/>
      <c r="R10" s="86"/>
    </row>
    <row r="11" spans="1:19" ht="21.95" customHeight="1">
      <c r="A11" s="244"/>
      <c r="B11" s="65" t="s">
        <v>150</v>
      </c>
      <c r="C11" s="42" t="s">
        <v>45</v>
      </c>
      <c r="D11" s="43"/>
      <c r="E11" s="44">
        <v>30</v>
      </c>
      <c r="F11" s="45" t="s">
        <v>16</v>
      </c>
      <c r="G11" s="69"/>
      <c r="H11" s="73" t="s">
        <v>45</v>
      </c>
      <c r="I11" s="43"/>
      <c r="J11" s="45">
        <f>ROUNDUP(E11*0.75,2)</f>
        <v>22.5</v>
      </c>
      <c r="K11" s="45" t="s">
        <v>16</v>
      </c>
      <c r="L11" s="45"/>
      <c r="M11" s="77" t="e">
        <f>ROUND(#REF!+(#REF!*15/100),2)</f>
        <v>#REF!</v>
      </c>
      <c r="N11" s="65" t="s">
        <v>151</v>
      </c>
      <c r="O11" s="46" t="s">
        <v>33</v>
      </c>
      <c r="P11" s="43"/>
      <c r="Q11" s="47">
        <v>1</v>
      </c>
      <c r="R11" s="85">
        <f>ROUNDUP(Q11*0.75,2)</f>
        <v>0.75</v>
      </c>
    </row>
    <row r="12" spans="1:19" ht="21.95" customHeight="1">
      <c r="A12" s="244"/>
      <c r="B12" s="65"/>
      <c r="C12" s="42" t="s">
        <v>123</v>
      </c>
      <c r="D12" s="43"/>
      <c r="E12" s="44">
        <v>5</v>
      </c>
      <c r="F12" s="45" t="s">
        <v>16</v>
      </c>
      <c r="G12" s="69"/>
      <c r="H12" s="73" t="s">
        <v>123</v>
      </c>
      <c r="I12" s="43"/>
      <c r="J12" s="45">
        <f>ROUNDUP(E12*0.75,2)</f>
        <v>3.75</v>
      </c>
      <c r="K12" s="45" t="s">
        <v>16</v>
      </c>
      <c r="L12" s="45"/>
      <c r="M12" s="77" t="e">
        <f>ROUND(#REF!+(#REF!*10/100),2)</f>
        <v>#REF!</v>
      </c>
      <c r="N12" s="65" t="s">
        <v>152</v>
      </c>
      <c r="O12" s="46" t="s">
        <v>26</v>
      </c>
      <c r="P12" s="43"/>
      <c r="Q12" s="47">
        <v>0.1</v>
      </c>
      <c r="R12" s="85">
        <f>ROUNDUP(Q12*0.75,2)</f>
        <v>0.08</v>
      </c>
    </row>
    <row r="13" spans="1:19" ht="21.95" customHeight="1">
      <c r="A13" s="244"/>
      <c r="B13" s="65"/>
      <c r="C13" s="42" t="s">
        <v>21</v>
      </c>
      <c r="D13" s="43" t="s">
        <v>22</v>
      </c>
      <c r="E13" s="48">
        <v>0.5</v>
      </c>
      <c r="F13" s="45" t="s">
        <v>23</v>
      </c>
      <c r="G13" s="69"/>
      <c r="H13" s="73" t="s">
        <v>21</v>
      </c>
      <c r="I13" s="43" t="s">
        <v>22</v>
      </c>
      <c r="J13" s="45">
        <f>ROUNDUP(E13*0.75,2)</f>
        <v>0.38</v>
      </c>
      <c r="K13" s="45" t="s">
        <v>23</v>
      </c>
      <c r="L13" s="45"/>
      <c r="M13" s="77" t="e">
        <f>#REF!</f>
        <v>#REF!</v>
      </c>
      <c r="N13" s="65" t="s">
        <v>153</v>
      </c>
      <c r="O13" s="46" t="s">
        <v>32</v>
      </c>
      <c r="P13" s="43"/>
      <c r="Q13" s="47">
        <v>2</v>
      </c>
      <c r="R13" s="85">
        <f>ROUNDUP(Q13*0.75,2)</f>
        <v>1.5</v>
      </c>
    </row>
    <row r="14" spans="1:19" ht="21.95" customHeight="1">
      <c r="A14" s="244"/>
      <c r="B14" s="65"/>
      <c r="C14" s="42" t="s">
        <v>57</v>
      </c>
      <c r="D14" s="43"/>
      <c r="E14" s="44">
        <v>5</v>
      </c>
      <c r="F14" s="45" t="s">
        <v>16</v>
      </c>
      <c r="G14" s="69" t="s">
        <v>58</v>
      </c>
      <c r="H14" s="73" t="s">
        <v>57</v>
      </c>
      <c r="I14" s="43"/>
      <c r="J14" s="45">
        <f>ROUNDUP(E14*0.75,2)</f>
        <v>3.75</v>
      </c>
      <c r="K14" s="45" t="s">
        <v>16</v>
      </c>
      <c r="L14" s="45" t="s">
        <v>58</v>
      </c>
      <c r="M14" s="77" t="e">
        <f>#REF!</f>
        <v>#REF!</v>
      </c>
      <c r="N14" s="65" t="s">
        <v>52</v>
      </c>
      <c r="O14" s="46" t="s">
        <v>91</v>
      </c>
      <c r="P14" s="43"/>
      <c r="Q14" s="47">
        <v>2</v>
      </c>
      <c r="R14" s="85">
        <f>ROUNDUP(Q14*0.75,2)</f>
        <v>1.5</v>
      </c>
    </row>
    <row r="15" spans="1:19" ht="21.95" customHeight="1">
      <c r="A15" s="244"/>
      <c r="B15" s="65"/>
      <c r="C15" s="42"/>
      <c r="D15" s="43"/>
      <c r="E15" s="44"/>
      <c r="F15" s="45"/>
      <c r="G15" s="69"/>
      <c r="H15" s="73"/>
      <c r="I15" s="43"/>
      <c r="J15" s="45"/>
      <c r="K15" s="45"/>
      <c r="L15" s="45"/>
      <c r="M15" s="77"/>
      <c r="N15" s="65" t="s">
        <v>13</v>
      </c>
      <c r="O15" s="46"/>
      <c r="P15" s="43"/>
      <c r="Q15" s="47"/>
      <c r="R15" s="85"/>
    </row>
    <row r="16" spans="1:19" ht="21.95" customHeight="1">
      <c r="A16" s="244"/>
      <c r="B16" s="66"/>
      <c r="C16" s="49"/>
      <c r="D16" s="50"/>
      <c r="E16" s="51"/>
      <c r="F16" s="52"/>
      <c r="G16" s="70"/>
      <c r="H16" s="74"/>
      <c r="I16" s="50"/>
      <c r="J16" s="52"/>
      <c r="K16" s="52"/>
      <c r="L16" s="52"/>
      <c r="M16" s="78"/>
      <c r="N16" s="66"/>
      <c r="O16" s="53"/>
      <c r="P16" s="50"/>
      <c r="Q16" s="54"/>
      <c r="R16" s="86"/>
    </row>
    <row r="17" spans="1:18" ht="21.95" customHeight="1">
      <c r="A17" s="244"/>
      <c r="B17" s="65" t="s">
        <v>154</v>
      </c>
      <c r="C17" s="42" t="s">
        <v>20</v>
      </c>
      <c r="D17" s="43"/>
      <c r="E17" s="44">
        <v>10</v>
      </c>
      <c r="F17" s="45" t="s">
        <v>16</v>
      </c>
      <c r="G17" s="69"/>
      <c r="H17" s="73" t="s">
        <v>20</v>
      </c>
      <c r="I17" s="43"/>
      <c r="J17" s="45">
        <f>ROUNDUP(E17*0.75,2)</f>
        <v>7.5</v>
      </c>
      <c r="K17" s="45" t="s">
        <v>16</v>
      </c>
      <c r="L17" s="45"/>
      <c r="M17" s="77" t="e">
        <f>ROUND(#REF!+(#REF!*3/100),2)</f>
        <v>#REF!</v>
      </c>
      <c r="N17" s="65" t="s">
        <v>155</v>
      </c>
      <c r="O17" s="46" t="s">
        <v>49</v>
      </c>
      <c r="P17" s="43"/>
      <c r="Q17" s="47">
        <v>60</v>
      </c>
      <c r="R17" s="85">
        <f>ROUNDUP(Q17*0.75,2)</f>
        <v>45</v>
      </c>
    </row>
    <row r="18" spans="1:18" ht="21.95" customHeight="1">
      <c r="A18" s="244"/>
      <c r="B18" s="65"/>
      <c r="C18" s="42" t="s">
        <v>46</v>
      </c>
      <c r="D18" s="43"/>
      <c r="E18" s="44">
        <v>10</v>
      </c>
      <c r="F18" s="45" t="s">
        <v>16</v>
      </c>
      <c r="G18" s="69" t="s">
        <v>47</v>
      </c>
      <c r="H18" s="73" t="s">
        <v>46</v>
      </c>
      <c r="I18" s="43"/>
      <c r="J18" s="45">
        <f>ROUNDUP(E18*0.75,2)</f>
        <v>7.5</v>
      </c>
      <c r="K18" s="45" t="s">
        <v>16</v>
      </c>
      <c r="L18" s="45" t="s">
        <v>47</v>
      </c>
      <c r="M18" s="77" t="e">
        <f>#REF!</f>
        <v>#REF!</v>
      </c>
      <c r="N18" s="65" t="s">
        <v>260</v>
      </c>
      <c r="O18" s="46" t="s">
        <v>157</v>
      </c>
      <c r="P18" s="43" t="s">
        <v>158</v>
      </c>
      <c r="Q18" s="47">
        <v>0.5</v>
      </c>
      <c r="R18" s="85">
        <f>ROUNDUP(Q18*0.75,2)</f>
        <v>0.38</v>
      </c>
    </row>
    <row r="19" spans="1:18" ht="21.95" customHeight="1">
      <c r="A19" s="244"/>
      <c r="B19" s="65"/>
      <c r="C19" s="42" t="s">
        <v>38</v>
      </c>
      <c r="D19" s="43" t="s">
        <v>39</v>
      </c>
      <c r="E19" s="44">
        <v>40</v>
      </c>
      <c r="F19" s="45" t="s">
        <v>40</v>
      </c>
      <c r="G19" s="69" t="s">
        <v>14</v>
      </c>
      <c r="H19" s="73" t="s">
        <v>38</v>
      </c>
      <c r="I19" s="43" t="s">
        <v>39</v>
      </c>
      <c r="J19" s="45">
        <f>ROUNDUP(E19*0.75,2)</f>
        <v>30</v>
      </c>
      <c r="K19" s="45" t="s">
        <v>40</v>
      </c>
      <c r="L19" s="45" t="s">
        <v>14</v>
      </c>
      <c r="M19" s="77" t="e">
        <f>#REF!</f>
        <v>#REF!</v>
      </c>
      <c r="N19" s="65" t="s">
        <v>261</v>
      </c>
      <c r="O19" s="46" t="s">
        <v>26</v>
      </c>
      <c r="P19" s="43"/>
      <c r="Q19" s="47">
        <v>0.1</v>
      </c>
      <c r="R19" s="85">
        <f>ROUNDUP(Q19*0.75,2)</f>
        <v>0.08</v>
      </c>
    </row>
    <row r="20" spans="1:18" ht="21.95" customHeight="1">
      <c r="A20" s="244"/>
      <c r="B20" s="65"/>
      <c r="C20" s="42"/>
      <c r="D20" s="43"/>
      <c r="E20" s="44"/>
      <c r="F20" s="45"/>
      <c r="G20" s="69"/>
      <c r="H20" s="73"/>
      <c r="I20" s="43"/>
      <c r="J20" s="45"/>
      <c r="K20" s="45"/>
      <c r="L20" s="45"/>
      <c r="M20" s="77"/>
      <c r="N20" s="65" t="s">
        <v>156</v>
      </c>
      <c r="O20" s="46" t="s">
        <v>89</v>
      </c>
      <c r="P20" s="43" t="s">
        <v>39</v>
      </c>
      <c r="Q20" s="47">
        <v>1</v>
      </c>
      <c r="R20" s="85">
        <f>ROUNDUP(Q20*0.75,2)</f>
        <v>0.75</v>
      </c>
    </row>
    <row r="21" spans="1:18" ht="21.95" customHeight="1">
      <c r="A21" s="244"/>
      <c r="B21" s="65"/>
      <c r="C21" s="42"/>
      <c r="D21" s="43"/>
      <c r="E21" s="44"/>
      <c r="F21" s="45"/>
      <c r="G21" s="69"/>
      <c r="H21" s="73"/>
      <c r="I21" s="43"/>
      <c r="J21" s="45"/>
      <c r="K21" s="45"/>
      <c r="L21" s="45"/>
      <c r="M21" s="77"/>
      <c r="N21" s="65" t="s">
        <v>13</v>
      </c>
      <c r="O21" s="46" t="s">
        <v>28</v>
      </c>
      <c r="P21" s="43"/>
      <c r="Q21" s="47">
        <v>1</v>
      </c>
      <c r="R21" s="85">
        <f>ROUNDUP(Q21*0.75,2)</f>
        <v>0.75</v>
      </c>
    </row>
    <row r="22" spans="1:18" ht="21.95" customHeight="1" thickBot="1">
      <c r="A22" s="245"/>
      <c r="B22" s="67"/>
      <c r="C22" s="56"/>
      <c r="D22" s="57"/>
      <c r="E22" s="58"/>
      <c r="F22" s="59"/>
      <c r="G22" s="71"/>
      <c r="H22" s="75"/>
      <c r="I22" s="57"/>
      <c r="J22" s="59"/>
      <c r="K22" s="59"/>
      <c r="L22" s="59"/>
      <c r="M22" s="79"/>
      <c r="N22" s="67"/>
      <c r="O22" s="60"/>
      <c r="P22" s="57"/>
      <c r="Q22" s="61"/>
      <c r="R22" s="87"/>
    </row>
    <row r="23" spans="1:18" ht="21.95" customHeight="1"/>
    <row r="24" spans="1:18" ht="21.95" customHeight="1"/>
    <row r="25" spans="1:18" ht="21.95" customHeight="1"/>
  </sheetData>
  <mergeCells count="4">
    <mergeCell ref="H1:N1"/>
    <mergeCell ref="A2:R2"/>
    <mergeCell ref="A3:F3"/>
    <mergeCell ref="A5:A22"/>
  </mergeCells>
  <phoneticPr fontId="17"/>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5"/>
  <sheetViews>
    <sheetView showZeros="0" zoomScale="60" zoomScaleNormal="60" zoomScaleSheetLayoutView="80" workbookViewId="0"/>
  </sheetViews>
  <sheetFormatPr defaultRowHeight="18.75" customHeight="1"/>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c r="A1" s="1" t="s">
        <v>12</v>
      </c>
      <c r="B1" s="1"/>
      <c r="C1" s="2"/>
      <c r="D1" s="3"/>
      <c r="E1" s="2"/>
      <c r="F1" s="2"/>
      <c r="G1" s="2"/>
      <c r="H1" s="239"/>
      <c r="I1" s="239"/>
      <c r="J1" s="240"/>
      <c r="K1" s="240"/>
      <c r="L1" s="240"/>
      <c r="M1" s="240"/>
      <c r="N1" s="240"/>
      <c r="O1" s="2"/>
      <c r="P1" s="2"/>
      <c r="Q1" s="4"/>
      <c r="R1" s="4"/>
      <c r="S1" s="3"/>
    </row>
    <row r="2" spans="1:19" ht="36.75" customHeight="1">
      <c r="A2" s="239" t="s">
        <v>0</v>
      </c>
      <c r="B2" s="239"/>
      <c r="C2" s="240"/>
      <c r="D2" s="240"/>
      <c r="E2" s="240"/>
      <c r="F2" s="240"/>
      <c r="G2" s="240"/>
      <c r="H2" s="240"/>
      <c r="I2" s="240"/>
      <c r="J2" s="240"/>
      <c r="K2" s="240"/>
      <c r="L2" s="240"/>
      <c r="M2" s="240"/>
      <c r="N2" s="240"/>
      <c r="O2" s="240"/>
      <c r="P2" s="240"/>
      <c r="Q2" s="240"/>
      <c r="R2" s="240"/>
      <c r="S2" s="3"/>
    </row>
    <row r="3" spans="1:19" ht="27.75" customHeight="1" thickBot="1">
      <c r="A3" s="241" t="s">
        <v>228</v>
      </c>
      <c r="B3" s="242"/>
      <c r="C3" s="242"/>
      <c r="D3" s="242"/>
      <c r="E3" s="242"/>
      <c r="F3" s="242"/>
      <c r="G3" s="2"/>
      <c r="H3" s="2"/>
      <c r="I3" s="12"/>
      <c r="J3" s="2"/>
      <c r="K3" s="7"/>
      <c r="L3" s="7"/>
      <c r="M3" s="10"/>
      <c r="N3" s="2"/>
      <c r="O3" s="13"/>
      <c r="P3" s="12"/>
      <c r="Q3" s="14"/>
      <c r="R3" s="14"/>
      <c r="S3" s="11"/>
    </row>
    <row r="4" spans="1:19" customFormat="1" ht="42" customHeight="1" thickBot="1">
      <c r="A4" s="15"/>
      <c r="B4" s="16" t="s">
        <v>1</v>
      </c>
      <c r="C4" s="17" t="s">
        <v>2</v>
      </c>
      <c r="D4" s="18" t="s">
        <v>281</v>
      </c>
      <c r="E4" s="34" t="s">
        <v>6</v>
      </c>
      <c r="F4" s="19" t="s">
        <v>4</v>
      </c>
      <c r="G4" s="17" t="s">
        <v>5</v>
      </c>
      <c r="H4" s="16" t="s">
        <v>2</v>
      </c>
      <c r="I4" s="18" t="s">
        <v>281</v>
      </c>
      <c r="J4" s="35" t="s">
        <v>3</v>
      </c>
      <c r="K4" s="19" t="s">
        <v>4</v>
      </c>
      <c r="L4" s="19" t="s">
        <v>5</v>
      </c>
      <c r="M4" s="21" t="s">
        <v>7</v>
      </c>
      <c r="N4" s="22" t="s">
        <v>8</v>
      </c>
      <c r="O4" s="19" t="s">
        <v>9</v>
      </c>
      <c r="P4" s="23" t="s">
        <v>281</v>
      </c>
      <c r="Q4" s="20" t="s">
        <v>11</v>
      </c>
      <c r="R4" s="24" t="s">
        <v>10</v>
      </c>
      <c r="S4" s="25"/>
    </row>
    <row r="5" spans="1:19" ht="21.95" customHeight="1">
      <c r="A5" s="243" t="s">
        <v>37</v>
      </c>
      <c r="B5" s="64" t="s">
        <v>53</v>
      </c>
      <c r="C5" s="36"/>
      <c r="D5" s="37"/>
      <c r="E5" s="38"/>
      <c r="F5" s="39"/>
      <c r="G5" s="68"/>
      <c r="H5" s="72"/>
      <c r="I5" s="37"/>
      <c r="J5" s="39"/>
      <c r="K5" s="39"/>
      <c r="L5" s="39"/>
      <c r="M5" s="76"/>
      <c r="N5" s="64"/>
      <c r="O5" s="40" t="s">
        <v>53</v>
      </c>
      <c r="P5" s="37"/>
      <c r="Q5" s="41">
        <v>110</v>
      </c>
      <c r="R5" s="84">
        <f>ROUNDUP(Q5*0.75,2)</f>
        <v>82.5</v>
      </c>
    </row>
    <row r="6" spans="1:19" ht="21.95" customHeight="1">
      <c r="A6" s="244"/>
      <c r="B6" s="66"/>
      <c r="C6" s="49"/>
      <c r="D6" s="50"/>
      <c r="E6" s="51"/>
      <c r="F6" s="52"/>
      <c r="G6" s="70"/>
      <c r="H6" s="74"/>
      <c r="I6" s="50"/>
      <c r="J6" s="52"/>
      <c r="K6" s="52"/>
      <c r="L6" s="52"/>
      <c r="M6" s="78"/>
      <c r="N6" s="66"/>
      <c r="O6" s="53"/>
      <c r="P6" s="50"/>
      <c r="Q6" s="54"/>
      <c r="R6" s="86"/>
    </row>
    <row r="7" spans="1:19" ht="21.95" customHeight="1">
      <c r="A7" s="244"/>
      <c r="B7" s="65" t="s">
        <v>165</v>
      </c>
      <c r="C7" s="42" t="s">
        <v>117</v>
      </c>
      <c r="D7" s="43"/>
      <c r="E7" s="44">
        <v>1</v>
      </c>
      <c r="F7" s="45" t="s">
        <v>119</v>
      </c>
      <c r="G7" s="69" t="s">
        <v>118</v>
      </c>
      <c r="H7" s="73" t="s">
        <v>117</v>
      </c>
      <c r="I7" s="43"/>
      <c r="J7" s="45">
        <f>ROUNDUP(E7*0.75,2)</f>
        <v>0.75</v>
      </c>
      <c r="K7" s="45" t="s">
        <v>119</v>
      </c>
      <c r="L7" s="45" t="s">
        <v>118</v>
      </c>
      <c r="M7" s="77" t="e">
        <f>#REF!</f>
        <v>#REF!</v>
      </c>
      <c r="N7" s="65" t="s">
        <v>166</v>
      </c>
      <c r="O7" s="46" t="s">
        <v>48</v>
      </c>
      <c r="P7" s="43" t="s">
        <v>15</v>
      </c>
      <c r="Q7" s="47">
        <v>2</v>
      </c>
      <c r="R7" s="85">
        <f>ROUNDUP(Q7*0.75,2)</f>
        <v>1.5</v>
      </c>
    </row>
    <row r="8" spans="1:19" ht="21.95" customHeight="1">
      <c r="A8" s="244"/>
      <c r="B8" s="65"/>
      <c r="C8" s="42" t="s">
        <v>21</v>
      </c>
      <c r="D8" s="43" t="s">
        <v>22</v>
      </c>
      <c r="E8" s="62">
        <v>0.125</v>
      </c>
      <c r="F8" s="45" t="s">
        <v>23</v>
      </c>
      <c r="G8" s="69"/>
      <c r="H8" s="73" t="s">
        <v>21</v>
      </c>
      <c r="I8" s="43" t="s">
        <v>22</v>
      </c>
      <c r="J8" s="45">
        <f>ROUNDUP(E8*0.75,2)</f>
        <v>9.9999999999999992E-2</v>
      </c>
      <c r="K8" s="45" t="s">
        <v>23</v>
      </c>
      <c r="L8" s="45"/>
      <c r="M8" s="77" t="e">
        <f>#REF!</f>
        <v>#REF!</v>
      </c>
      <c r="N8" s="65" t="s">
        <v>167</v>
      </c>
      <c r="O8" s="46" t="s">
        <v>32</v>
      </c>
      <c r="P8" s="43"/>
      <c r="Q8" s="47">
        <v>3</v>
      </c>
      <c r="R8" s="85">
        <f>ROUNDUP(Q8*0.75,2)</f>
        <v>2.25</v>
      </c>
    </row>
    <row r="9" spans="1:19" ht="21.95" customHeight="1">
      <c r="A9" s="244"/>
      <c r="B9" s="65"/>
      <c r="C9" s="42" t="s">
        <v>106</v>
      </c>
      <c r="D9" s="43" t="s">
        <v>15</v>
      </c>
      <c r="E9" s="44">
        <v>5</v>
      </c>
      <c r="F9" s="45" t="s">
        <v>16</v>
      </c>
      <c r="G9" s="69" t="s">
        <v>107</v>
      </c>
      <c r="H9" s="73" t="s">
        <v>106</v>
      </c>
      <c r="I9" s="43" t="s">
        <v>15</v>
      </c>
      <c r="J9" s="45">
        <f>ROUNDUP(E9*0.75,2)</f>
        <v>3.75</v>
      </c>
      <c r="K9" s="45" t="s">
        <v>16</v>
      </c>
      <c r="L9" s="45" t="s">
        <v>107</v>
      </c>
      <c r="M9" s="77" t="e">
        <f>#REF!</f>
        <v>#REF!</v>
      </c>
      <c r="N9" s="65" t="s">
        <v>13</v>
      </c>
      <c r="O9" s="46" t="s">
        <v>110</v>
      </c>
      <c r="P9" s="43"/>
      <c r="Q9" s="47">
        <v>3</v>
      </c>
      <c r="R9" s="85">
        <f>ROUNDUP(Q9*0.75,2)</f>
        <v>2.25</v>
      </c>
    </row>
    <row r="10" spans="1:19" ht="21.95" customHeight="1">
      <c r="A10" s="244"/>
      <c r="B10" s="65"/>
      <c r="C10" s="42" t="s">
        <v>20</v>
      </c>
      <c r="D10" s="43"/>
      <c r="E10" s="44">
        <v>10</v>
      </c>
      <c r="F10" s="45" t="s">
        <v>16</v>
      </c>
      <c r="G10" s="69"/>
      <c r="H10" s="73" t="s">
        <v>20</v>
      </c>
      <c r="I10" s="43"/>
      <c r="J10" s="45">
        <f>ROUNDUP(E10*0.75,2)</f>
        <v>7.5</v>
      </c>
      <c r="K10" s="45" t="s">
        <v>16</v>
      </c>
      <c r="L10" s="45"/>
      <c r="M10" s="77" t="e">
        <f>ROUND(#REF!+(#REF!*3/100),2)</f>
        <v>#REF!</v>
      </c>
      <c r="N10" s="65"/>
      <c r="O10" s="46"/>
      <c r="P10" s="43"/>
      <c r="Q10" s="47"/>
      <c r="R10" s="85"/>
    </row>
    <row r="11" spans="1:19" ht="21.95" customHeight="1">
      <c r="A11" s="244"/>
      <c r="B11" s="65"/>
      <c r="C11" s="42" t="s">
        <v>168</v>
      </c>
      <c r="D11" s="43"/>
      <c r="E11" s="44">
        <v>10</v>
      </c>
      <c r="F11" s="45" t="s">
        <v>16</v>
      </c>
      <c r="G11" s="69"/>
      <c r="H11" s="73" t="s">
        <v>168</v>
      </c>
      <c r="I11" s="43"/>
      <c r="J11" s="45">
        <f>ROUNDUP(E11*0.75,2)</f>
        <v>7.5</v>
      </c>
      <c r="K11" s="45" t="s">
        <v>16</v>
      </c>
      <c r="L11" s="45"/>
      <c r="M11" s="77" t="e">
        <f>ROUND(#REF!+(#REF!*50/100),2)</f>
        <v>#REF!</v>
      </c>
      <c r="N11" s="65"/>
      <c r="O11" s="46"/>
      <c r="P11" s="43"/>
      <c r="Q11" s="47"/>
      <c r="R11" s="85"/>
    </row>
    <row r="12" spans="1:19" ht="21.95" customHeight="1">
      <c r="A12" s="244"/>
      <c r="B12" s="66"/>
      <c r="C12" s="49"/>
      <c r="D12" s="50"/>
      <c r="E12" s="51"/>
      <c r="F12" s="52"/>
      <c r="G12" s="70"/>
      <c r="H12" s="74"/>
      <c r="I12" s="50"/>
      <c r="J12" s="52"/>
      <c r="K12" s="52"/>
      <c r="L12" s="52"/>
      <c r="M12" s="78"/>
      <c r="N12" s="66"/>
      <c r="O12" s="53"/>
      <c r="P12" s="50"/>
      <c r="Q12" s="54"/>
      <c r="R12" s="86"/>
    </row>
    <row r="13" spans="1:19" ht="21.95" customHeight="1">
      <c r="A13" s="244"/>
      <c r="B13" s="65" t="s">
        <v>229</v>
      </c>
      <c r="C13" s="42" t="s">
        <v>30</v>
      </c>
      <c r="D13" s="43"/>
      <c r="E13" s="44">
        <v>50</v>
      </c>
      <c r="F13" s="45" t="s">
        <v>16</v>
      </c>
      <c r="G13" s="69"/>
      <c r="H13" s="73" t="s">
        <v>30</v>
      </c>
      <c r="I13" s="43"/>
      <c r="J13" s="45">
        <f>ROUNDUP(E13*0.75,2)</f>
        <v>37.5</v>
      </c>
      <c r="K13" s="45" t="s">
        <v>16</v>
      </c>
      <c r="L13" s="45"/>
      <c r="M13" s="77" t="e">
        <f>ROUND(#REF!+(#REF!*10/100),2)</f>
        <v>#REF!</v>
      </c>
      <c r="N13" s="65" t="s">
        <v>263</v>
      </c>
      <c r="O13" s="46" t="s">
        <v>27</v>
      </c>
      <c r="P13" s="43" t="s">
        <v>15</v>
      </c>
      <c r="Q13" s="47">
        <v>0.5</v>
      </c>
      <c r="R13" s="85">
        <f>ROUNDUP(Q13*0.75,2)</f>
        <v>0.38</v>
      </c>
    </row>
    <row r="14" spans="1:19" ht="21.95" customHeight="1">
      <c r="A14" s="244"/>
      <c r="B14" s="65"/>
      <c r="C14" s="42" t="s">
        <v>231</v>
      </c>
      <c r="D14" s="43"/>
      <c r="E14" s="44">
        <v>10</v>
      </c>
      <c r="F14" s="45" t="s">
        <v>16</v>
      </c>
      <c r="G14" s="69" t="s">
        <v>14</v>
      </c>
      <c r="H14" s="73" t="s">
        <v>231</v>
      </c>
      <c r="I14" s="43"/>
      <c r="J14" s="45">
        <f>ROUNDUP(E14*0.75,2)</f>
        <v>7.5</v>
      </c>
      <c r="K14" s="45" t="s">
        <v>16</v>
      </c>
      <c r="L14" s="45" t="s">
        <v>14</v>
      </c>
      <c r="M14" s="77" t="e">
        <f>#REF!</f>
        <v>#REF!</v>
      </c>
      <c r="N14" s="65" t="s">
        <v>230</v>
      </c>
      <c r="O14" s="46" t="s">
        <v>49</v>
      </c>
      <c r="P14" s="43"/>
      <c r="Q14" s="47">
        <v>30</v>
      </c>
      <c r="R14" s="85">
        <f>ROUNDUP(Q14*0.75,2)</f>
        <v>22.5</v>
      </c>
    </row>
    <row r="15" spans="1:19" ht="21.95" customHeight="1">
      <c r="A15" s="244"/>
      <c r="B15" s="65"/>
      <c r="C15" s="42"/>
      <c r="D15" s="43"/>
      <c r="E15" s="44"/>
      <c r="F15" s="45"/>
      <c r="G15" s="69"/>
      <c r="H15" s="73"/>
      <c r="I15" s="43"/>
      <c r="J15" s="45"/>
      <c r="K15" s="45"/>
      <c r="L15" s="45"/>
      <c r="M15" s="77"/>
      <c r="N15" s="65" t="s">
        <v>13</v>
      </c>
      <c r="O15" s="46"/>
      <c r="P15" s="43"/>
      <c r="Q15" s="47"/>
      <c r="R15" s="85"/>
    </row>
    <row r="16" spans="1:19" ht="21.95" customHeight="1">
      <c r="A16" s="244"/>
      <c r="B16" s="66"/>
      <c r="C16" s="49"/>
      <c r="D16" s="50"/>
      <c r="E16" s="51"/>
      <c r="F16" s="52"/>
      <c r="G16" s="70"/>
      <c r="H16" s="74"/>
      <c r="I16" s="50"/>
      <c r="J16" s="52"/>
      <c r="K16" s="52"/>
      <c r="L16" s="52"/>
      <c r="M16" s="78"/>
      <c r="N16" s="66"/>
      <c r="O16" s="53"/>
      <c r="P16" s="50"/>
      <c r="Q16" s="54"/>
      <c r="R16" s="86"/>
    </row>
    <row r="17" spans="1:18" ht="21.95" customHeight="1">
      <c r="A17" s="244"/>
      <c r="B17" s="65" t="s">
        <v>64</v>
      </c>
      <c r="C17" s="42" t="s">
        <v>171</v>
      </c>
      <c r="D17" s="43" t="s">
        <v>15</v>
      </c>
      <c r="E17" s="63">
        <v>0.1</v>
      </c>
      <c r="F17" s="45" t="s">
        <v>63</v>
      </c>
      <c r="G17" s="69"/>
      <c r="H17" s="73" t="s">
        <v>171</v>
      </c>
      <c r="I17" s="43" t="s">
        <v>15</v>
      </c>
      <c r="J17" s="45">
        <f>ROUNDUP(E17*0.75,2)</f>
        <v>0.08</v>
      </c>
      <c r="K17" s="45" t="s">
        <v>63</v>
      </c>
      <c r="L17" s="45"/>
      <c r="M17" s="77"/>
      <c r="N17" s="65" t="s">
        <v>13</v>
      </c>
      <c r="O17" s="46" t="s">
        <v>24</v>
      </c>
      <c r="P17" s="43"/>
      <c r="Q17" s="47">
        <v>100</v>
      </c>
      <c r="R17" s="85">
        <f>ROUNDUP(Q17*0.75,2)</f>
        <v>75</v>
      </c>
    </row>
    <row r="18" spans="1:18" ht="21.95" customHeight="1">
      <c r="A18" s="244"/>
      <c r="B18" s="65"/>
      <c r="C18" s="42" t="s">
        <v>141</v>
      </c>
      <c r="D18" s="43"/>
      <c r="E18" s="44">
        <v>20</v>
      </c>
      <c r="F18" s="45" t="s">
        <v>16</v>
      </c>
      <c r="G18" s="69"/>
      <c r="H18" s="73" t="s">
        <v>141</v>
      </c>
      <c r="I18" s="43"/>
      <c r="J18" s="45">
        <f>ROUNDUP(E18*0.75,2)</f>
        <v>15</v>
      </c>
      <c r="K18" s="45" t="s">
        <v>16</v>
      </c>
      <c r="L18" s="45"/>
      <c r="M18" s="77" t="e">
        <f>ROUND(#REF!+(#REF!*3/100),2)</f>
        <v>#REF!</v>
      </c>
      <c r="N18" s="65"/>
      <c r="O18" s="46" t="s">
        <v>26</v>
      </c>
      <c r="P18" s="43"/>
      <c r="Q18" s="47">
        <v>0.1</v>
      </c>
      <c r="R18" s="85">
        <f>ROUNDUP(Q18*0.75,2)</f>
        <v>0.08</v>
      </c>
    </row>
    <row r="19" spans="1:18" ht="21.95" customHeight="1">
      <c r="A19" s="244"/>
      <c r="B19" s="65"/>
      <c r="C19" s="42"/>
      <c r="D19" s="43"/>
      <c r="E19" s="44"/>
      <c r="F19" s="45"/>
      <c r="G19" s="69"/>
      <c r="H19" s="73"/>
      <c r="I19" s="43"/>
      <c r="J19" s="45"/>
      <c r="K19" s="45"/>
      <c r="L19" s="45"/>
      <c r="M19" s="77"/>
      <c r="N19" s="65"/>
      <c r="O19" s="46" t="s">
        <v>27</v>
      </c>
      <c r="P19" s="43" t="s">
        <v>15</v>
      </c>
      <c r="Q19" s="47">
        <v>0.5</v>
      </c>
      <c r="R19" s="85">
        <f>ROUNDUP(Q19*0.75,2)</f>
        <v>0.38</v>
      </c>
    </row>
    <row r="20" spans="1:18" ht="21.95" customHeight="1">
      <c r="A20" s="244"/>
      <c r="B20" s="66"/>
      <c r="C20" s="49"/>
      <c r="D20" s="50"/>
      <c r="E20" s="51"/>
      <c r="F20" s="52"/>
      <c r="G20" s="70"/>
      <c r="H20" s="74"/>
      <c r="I20" s="50"/>
      <c r="J20" s="52"/>
      <c r="K20" s="52"/>
      <c r="L20" s="52"/>
      <c r="M20" s="78"/>
      <c r="N20" s="66"/>
      <c r="O20" s="53"/>
      <c r="P20" s="50"/>
      <c r="Q20" s="54"/>
      <c r="R20" s="86"/>
    </row>
    <row r="21" spans="1:18" ht="21.95" customHeight="1">
      <c r="A21" s="244"/>
      <c r="B21" s="65" t="s">
        <v>139</v>
      </c>
      <c r="C21" s="42" t="s">
        <v>140</v>
      </c>
      <c r="D21" s="43"/>
      <c r="E21" s="81">
        <v>0.25</v>
      </c>
      <c r="F21" s="45" t="s">
        <v>44</v>
      </c>
      <c r="G21" s="69"/>
      <c r="H21" s="73" t="s">
        <v>140</v>
      </c>
      <c r="I21" s="43"/>
      <c r="J21" s="45">
        <f>ROUNDUP(E21*0.75,2)</f>
        <v>0.19</v>
      </c>
      <c r="K21" s="45" t="s">
        <v>44</v>
      </c>
      <c r="L21" s="45"/>
      <c r="M21" s="77" t="e">
        <f>#REF!</f>
        <v>#REF!</v>
      </c>
      <c r="N21" s="65" t="s">
        <v>35</v>
      </c>
      <c r="O21" s="46"/>
      <c r="P21" s="43"/>
      <c r="Q21" s="47"/>
      <c r="R21" s="85"/>
    </row>
    <row r="22" spans="1:18" ht="21.95" customHeight="1" thickBot="1">
      <c r="A22" s="245"/>
      <c r="B22" s="67"/>
      <c r="C22" s="56"/>
      <c r="D22" s="57"/>
      <c r="E22" s="58"/>
      <c r="F22" s="59"/>
      <c r="G22" s="71"/>
      <c r="H22" s="75"/>
      <c r="I22" s="57"/>
      <c r="J22" s="59"/>
      <c r="K22" s="59"/>
      <c r="L22" s="59"/>
      <c r="M22" s="79"/>
      <c r="N22" s="67"/>
      <c r="O22" s="60"/>
      <c r="P22" s="57"/>
      <c r="Q22" s="61"/>
      <c r="R22" s="87"/>
    </row>
    <row r="23" spans="1:18" ht="21.95" customHeight="1"/>
    <row r="24" spans="1:18" ht="21.95" customHeight="1"/>
    <row r="25" spans="1:18" ht="21.95" customHeight="1"/>
  </sheetData>
  <mergeCells count="4">
    <mergeCell ref="H1:N1"/>
    <mergeCell ref="A2:R2"/>
    <mergeCell ref="A3:F3"/>
    <mergeCell ref="A5:A22"/>
  </mergeCells>
  <phoneticPr fontId="17"/>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7"/>
  <sheetViews>
    <sheetView showZeros="0" zoomScale="60" zoomScaleNormal="60" zoomScaleSheetLayoutView="80" workbookViewId="0"/>
  </sheetViews>
  <sheetFormatPr defaultRowHeight="18.75" customHeight="1"/>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c r="A1" s="1" t="s">
        <v>12</v>
      </c>
      <c r="B1" s="1"/>
      <c r="C1" s="2"/>
      <c r="D1" s="3"/>
      <c r="E1" s="2"/>
      <c r="F1" s="2"/>
      <c r="G1" s="2"/>
      <c r="H1" s="239"/>
      <c r="I1" s="239"/>
      <c r="J1" s="240"/>
      <c r="K1" s="240"/>
      <c r="L1" s="240"/>
      <c r="M1" s="240"/>
      <c r="N1" s="240"/>
      <c r="O1" s="2"/>
      <c r="P1" s="2"/>
      <c r="Q1" s="4"/>
      <c r="R1" s="4"/>
      <c r="S1" s="3"/>
    </row>
    <row r="2" spans="1:19" ht="36.75" customHeight="1">
      <c r="A2" s="239" t="s">
        <v>0</v>
      </c>
      <c r="B2" s="239"/>
      <c r="C2" s="240"/>
      <c r="D2" s="240"/>
      <c r="E2" s="240"/>
      <c r="F2" s="240"/>
      <c r="G2" s="240"/>
      <c r="H2" s="240"/>
      <c r="I2" s="240"/>
      <c r="J2" s="240"/>
      <c r="K2" s="240"/>
      <c r="L2" s="240"/>
      <c r="M2" s="240"/>
      <c r="N2" s="240"/>
      <c r="O2" s="240"/>
      <c r="P2" s="240"/>
      <c r="Q2" s="240"/>
      <c r="R2" s="240"/>
      <c r="S2" s="3"/>
    </row>
    <row r="3" spans="1:19" ht="27.75" customHeight="1" thickBot="1">
      <c r="A3" s="241" t="s">
        <v>232</v>
      </c>
      <c r="B3" s="242"/>
      <c r="C3" s="242"/>
      <c r="D3" s="242"/>
      <c r="E3" s="242"/>
      <c r="F3" s="242"/>
      <c r="G3" s="2"/>
      <c r="H3" s="2"/>
      <c r="I3" s="12"/>
      <c r="J3" s="2"/>
      <c r="K3" s="7"/>
      <c r="L3" s="7"/>
      <c r="M3" s="10"/>
      <c r="N3" s="2"/>
      <c r="O3" s="13"/>
      <c r="P3" s="12"/>
      <c r="Q3" s="14"/>
      <c r="R3" s="14"/>
      <c r="S3" s="11"/>
    </row>
    <row r="4" spans="1:19" customFormat="1" ht="42" customHeight="1" thickBot="1">
      <c r="A4" s="15"/>
      <c r="B4" s="16" t="s">
        <v>1</v>
      </c>
      <c r="C4" s="17" t="s">
        <v>2</v>
      </c>
      <c r="D4" s="18" t="s">
        <v>281</v>
      </c>
      <c r="E4" s="34" t="s">
        <v>6</v>
      </c>
      <c r="F4" s="19" t="s">
        <v>4</v>
      </c>
      <c r="G4" s="17" t="s">
        <v>5</v>
      </c>
      <c r="H4" s="16" t="s">
        <v>2</v>
      </c>
      <c r="I4" s="18" t="s">
        <v>281</v>
      </c>
      <c r="J4" s="35" t="s">
        <v>3</v>
      </c>
      <c r="K4" s="19" t="s">
        <v>4</v>
      </c>
      <c r="L4" s="19" t="s">
        <v>5</v>
      </c>
      <c r="M4" s="21" t="s">
        <v>7</v>
      </c>
      <c r="N4" s="22" t="s">
        <v>8</v>
      </c>
      <c r="O4" s="19" t="s">
        <v>9</v>
      </c>
      <c r="P4" s="23" t="s">
        <v>281</v>
      </c>
      <c r="Q4" s="20" t="s">
        <v>11</v>
      </c>
      <c r="R4" s="24" t="s">
        <v>10</v>
      </c>
      <c r="S4" s="25"/>
    </row>
    <row r="5" spans="1:19" ht="18.95" customHeight="1">
      <c r="A5" s="243" t="s">
        <v>37</v>
      </c>
      <c r="B5" s="64" t="s">
        <v>53</v>
      </c>
      <c r="C5" s="36"/>
      <c r="D5" s="37"/>
      <c r="E5" s="38"/>
      <c r="F5" s="39"/>
      <c r="G5" s="68"/>
      <c r="H5" s="72"/>
      <c r="I5" s="37"/>
      <c r="J5" s="39"/>
      <c r="K5" s="39"/>
      <c r="L5" s="39"/>
      <c r="M5" s="76"/>
      <c r="N5" s="64"/>
      <c r="O5" s="40" t="s">
        <v>53</v>
      </c>
      <c r="P5" s="37"/>
      <c r="Q5" s="41">
        <v>110</v>
      </c>
      <c r="R5" s="84">
        <f>ROUNDUP(Q5*0.75,2)</f>
        <v>82.5</v>
      </c>
    </row>
    <row r="6" spans="1:19" ht="18.95" customHeight="1">
      <c r="A6" s="244"/>
      <c r="B6" s="66"/>
      <c r="C6" s="49"/>
      <c r="D6" s="50"/>
      <c r="E6" s="51"/>
      <c r="F6" s="52"/>
      <c r="G6" s="70"/>
      <c r="H6" s="74"/>
      <c r="I6" s="50"/>
      <c r="J6" s="52"/>
      <c r="K6" s="52"/>
      <c r="L6" s="52"/>
      <c r="M6" s="78"/>
      <c r="N6" s="66"/>
      <c r="O6" s="53"/>
      <c r="P6" s="50"/>
      <c r="Q6" s="54"/>
      <c r="R6" s="86"/>
    </row>
    <row r="7" spans="1:19" ht="18.95" customHeight="1">
      <c r="A7" s="244"/>
      <c r="B7" s="65" t="s">
        <v>176</v>
      </c>
      <c r="C7" s="42" t="s">
        <v>162</v>
      </c>
      <c r="D7" s="43"/>
      <c r="E7" s="44">
        <v>1</v>
      </c>
      <c r="F7" s="45" t="s">
        <v>119</v>
      </c>
      <c r="G7" s="69" t="s">
        <v>163</v>
      </c>
      <c r="H7" s="73" t="s">
        <v>162</v>
      </c>
      <c r="I7" s="43"/>
      <c r="J7" s="45">
        <f>ROUNDUP(E7*0.75,2)</f>
        <v>0.75</v>
      </c>
      <c r="K7" s="45" t="s">
        <v>119</v>
      </c>
      <c r="L7" s="45" t="s">
        <v>163</v>
      </c>
      <c r="M7" s="77" t="e">
        <f>#REF!</f>
        <v>#REF!</v>
      </c>
      <c r="N7" s="65" t="s">
        <v>177</v>
      </c>
      <c r="O7" s="46" t="s">
        <v>60</v>
      </c>
      <c r="P7" s="43"/>
      <c r="Q7" s="47">
        <v>0.5</v>
      </c>
      <c r="R7" s="85">
        <f t="shared" ref="R7:R12" si="0">ROUNDUP(Q7*0.75,2)</f>
        <v>0.38</v>
      </c>
    </row>
    <row r="8" spans="1:19" ht="18.95" customHeight="1">
      <c r="A8" s="244"/>
      <c r="B8" s="65"/>
      <c r="C8" s="42" t="s">
        <v>90</v>
      </c>
      <c r="D8" s="43"/>
      <c r="E8" s="44">
        <v>20</v>
      </c>
      <c r="F8" s="45" t="s">
        <v>16</v>
      </c>
      <c r="G8" s="69"/>
      <c r="H8" s="73" t="s">
        <v>90</v>
      </c>
      <c r="I8" s="43"/>
      <c r="J8" s="45">
        <f>ROUNDUP(E8*0.75,2)</f>
        <v>15</v>
      </c>
      <c r="K8" s="45" t="s">
        <v>16</v>
      </c>
      <c r="L8" s="45"/>
      <c r="M8" s="77" t="e">
        <f>ROUND(#REF!+(#REF!*3/100),2)</f>
        <v>#REF!</v>
      </c>
      <c r="N8" s="65" t="s">
        <v>178</v>
      </c>
      <c r="O8" s="46" t="s">
        <v>48</v>
      </c>
      <c r="P8" s="43" t="s">
        <v>15</v>
      </c>
      <c r="Q8" s="47">
        <v>3</v>
      </c>
      <c r="R8" s="85">
        <f t="shared" si="0"/>
        <v>2.25</v>
      </c>
    </row>
    <row r="9" spans="1:19" ht="18.95" customHeight="1">
      <c r="A9" s="244"/>
      <c r="B9" s="65"/>
      <c r="C9" s="42"/>
      <c r="D9" s="43"/>
      <c r="E9" s="44"/>
      <c r="F9" s="45"/>
      <c r="G9" s="69"/>
      <c r="H9" s="73"/>
      <c r="I9" s="43"/>
      <c r="J9" s="45"/>
      <c r="K9" s="45"/>
      <c r="L9" s="45"/>
      <c r="M9" s="77"/>
      <c r="N9" s="65" t="s">
        <v>179</v>
      </c>
      <c r="O9" s="46" t="s">
        <v>32</v>
      </c>
      <c r="P9" s="43"/>
      <c r="Q9" s="47">
        <v>1</v>
      </c>
      <c r="R9" s="85">
        <f t="shared" si="0"/>
        <v>0.75</v>
      </c>
    </row>
    <row r="10" spans="1:19" ht="18.95" customHeight="1">
      <c r="A10" s="244"/>
      <c r="B10" s="65"/>
      <c r="C10" s="42"/>
      <c r="D10" s="43"/>
      <c r="E10" s="44"/>
      <c r="F10" s="45"/>
      <c r="G10" s="69"/>
      <c r="H10" s="73"/>
      <c r="I10" s="43"/>
      <c r="J10" s="45"/>
      <c r="K10" s="45"/>
      <c r="L10" s="45"/>
      <c r="M10" s="77"/>
      <c r="N10" s="65" t="s">
        <v>180</v>
      </c>
      <c r="O10" s="46" t="s">
        <v>89</v>
      </c>
      <c r="P10" s="43" t="s">
        <v>39</v>
      </c>
      <c r="Q10" s="47">
        <v>1</v>
      </c>
      <c r="R10" s="85">
        <f t="shared" si="0"/>
        <v>0.75</v>
      </c>
    </row>
    <row r="11" spans="1:19" ht="18.95" customHeight="1">
      <c r="A11" s="244"/>
      <c r="B11" s="65"/>
      <c r="C11" s="42"/>
      <c r="D11" s="43"/>
      <c r="E11" s="44"/>
      <c r="F11" s="45"/>
      <c r="G11" s="69"/>
      <c r="H11" s="73"/>
      <c r="I11" s="43"/>
      <c r="J11" s="45"/>
      <c r="K11" s="45"/>
      <c r="L11" s="45"/>
      <c r="M11" s="77"/>
      <c r="N11" s="65" t="s">
        <v>181</v>
      </c>
      <c r="O11" s="46" t="s">
        <v>76</v>
      </c>
      <c r="P11" s="43"/>
      <c r="Q11" s="47">
        <v>2</v>
      </c>
      <c r="R11" s="85">
        <f t="shared" si="0"/>
        <v>1.5</v>
      </c>
    </row>
    <row r="12" spans="1:19" ht="18.95" customHeight="1">
      <c r="A12" s="244"/>
      <c r="B12" s="65"/>
      <c r="C12" s="42"/>
      <c r="D12" s="43"/>
      <c r="E12" s="44"/>
      <c r="F12" s="45"/>
      <c r="G12" s="69"/>
      <c r="H12" s="73"/>
      <c r="I12" s="43"/>
      <c r="J12" s="45"/>
      <c r="K12" s="45"/>
      <c r="L12" s="45"/>
      <c r="M12" s="77"/>
      <c r="N12" s="65" t="s">
        <v>29</v>
      </c>
      <c r="O12" s="46" t="s">
        <v>110</v>
      </c>
      <c r="P12" s="43"/>
      <c r="Q12" s="47">
        <v>1</v>
      </c>
      <c r="R12" s="85">
        <f t="shared" si="0"/>
        <v>0.75</v>
      </c>
    </row>
    <row r="13" spans="1:19" ht="18.95" customHeight="1">
      <c r="A13" s="244"/>
      <c r="B13" s="65"/>
      <c r="C13" s="42"/>
      <c r="D13" s="43"/>
      <c r="E13" s="44"/>
      <c r="F13" s="45"/>
      <c r="G13" s="69"/>
      <c r="H13" s="73"/>
      <c r="I13" s="43"/>
      <c r="J13" s="45"/>
      <c r="K13" s="45"/>
      <c r="L13" s="45"/>
      <c r="M13" s="77"/>
      <c r="N13" s="65" t="s">
        <v>86</v>
      </c>
      <c r="O13" s="46"/>
      <c r="P13" s="43"/>
      <c r="Q13" s="47"/>
      <c r="R13" s="85"/>
    </row>
    <row r="14" spans="1:19" ht="18.95" customHeight="1">
      <c r="A14" s="244"/>
      <c r="B14" s="65"/>
      <c r="C14" s="42"/>
      <c r="D14" s="43"/>
      <c r="E14" s="44"/>
      <c r="F14" s="45"/>
      <c r="G14" s="69"/>
      <c r="H14" s="73"/>
      <c r="I14" s="43"/>
      <c r="J14" s="45"/>
      <c r="K14" s="45"/>
      <c r="L14" s="45"/>
      <c r="M14" s="77"/>
      <c r="N14" s="65"/>
      <c r="O14" s="46"/>
      <c r="P14" s="43"/>
      <c r="Q14" s="47"/>
      <c r="R14" s="85"/>
    </row>
    <row r="15" spans="1:19" ht="18.95" customHeight="1">
      <c r="A15" s="244"/>
      <c r="B15" s="66"/>
      <c r="C15" s="49"/>
      <c r="D15" s="50"/>
      <c r="E15" s="51"/>
      <c r="F15" s="52"/>
      <c r="G15" s="70"/>
      <c r="H15" s="74"/>
      <c r="I15" s="50"/>
      <c r="J15" s="52"/>
      <c r="K15" s="52"/>
      <c r="L15" s="52"/>
      <c r="M15" s="78"/>
      <c r="N15" s="66"/>
      <c r="O15" s="53"/>
      <c r="P15" s="50"/>
      <c r="Q15" s="54"/>
      <c r="R15" s="86"/>
    </row>
    <row r="16" spans="1:19" ht="18.95" customHeight="1">
      <c r="A16" s="244"/>
      <c r="B16" s="65" t="s">
        <v>182</v>
      </c>
      <c r="C16" s="42" t="s">
        <v>115</v>
      </c>
      <c r="D16" s="43"/>
      <c r="E16" s="81">
        <v>0.25</v>
      </c>
      <c r="F16" s="45" t="s">
        <v>116</v>
      </c>
      <c r="G16" s="69" t="s">
        <v>14</v>
      </c>
      <c r="H16" s="73" t="s">
        <v>115</v>
      </c>
      <c r="I16" s="43"/>
      <c r="J16" s="45">
        <f>ROUNDUP(E16*0.75,2)</f>
        <v>0.19</v>
      </c>
      <c r="K16" s="45" t="s">
        <v>116</v>
      </c>
      <c r="L16" s="45" t="s">
        <v>14</v>
      </c>
      <c r="M16" s="77" t="e">
        <f>#REF!</f>
        <v>#REF!</v>
      </c>
      <c r="N16" s="65" t="s">
        <v>265</v>
      </c>
      <c r="O16" s="46" t="s">
        <v>32</v>
      </c>
      <c r="P16" s="43"/>
      <c r="Q16" s="47">
        <v>2</v>
      </c>
      <c r="R16" s="85">
        <f t="shared" ref="R16:R21" si="1">ROUNDUP(Q16*0.75,2)</f>
        <v>1.5</v>
      </c>
    </row>
    <row r="17" spans="1:18" ht="18.95" customHeight="1">
      <c r="A17" s="244"/>
      <c r="B17" s="65"/>
      <c r="C17" s="42" t="s">
        <v>184</v>
      </c>
      <c r="D17" s="43"/>
      <c r="E17" s="44">
        <v>10</v>
      </c>
      <c r="F17" s="45" t="s">
        <v>16</v>
      </c>
      <c r="G17" s="69" t="s">
        <v>58</v>
      </c>
      <c r="H17" s="73" t="s">
        <v>184</v>
      </c>
      <c r="I17" s="43"/>
      <c r="J17" s="45">
        <f>ROUNDUP(E17*0.75,2)</f>
        <v>7.5</v>
      </c>
      <c r="K17" s="45" t="s">
        <v>16</v>
      </c>
      <c r="L17" s="45" t="s">
        <v>58</v>
      </c>
      <c r="M17" s="77" t="e">
        <f>#REF!</f>
        <v>#REF!</v>
      </c>
      <c r="N17" s="65" t="s">
        <v>264</v>
      </c>
      <c r="O17" s="46" t="s">
        <v>24</v>
      </c>
      <c r="P17" s="43"/>
      <c r="Q17" s="47">
        <v>10</v>
      </c>
      <c r="R17" s="85">
        <f t="shared" si="1"/>
        <v>7.5</v>
      </c>
    </row>
    <row r="18" spans="1:18" ht="18.95" customHeight="1">
      <c r="A18" s="244"/>
      <c r="B18" s="65"/>
      <c r="C18" s="42" t="s">
        <v>20</v>
      </c>
      <c r="D18" s="43"/>
      <c r="E18" s="44">
        <v>10</v>
      </c>
      <c r="F18" s="45" t="s">
        <v>16</v>
      </c>
      <c r="G18" s="69"/>
      <c r="H18" s="73" t="s">
        <v>20</v>
      </c>
      <c r="I18" s="43"/>
      <c r="J18" s="45">
        <f>ROUNDUP(E18*0.75,2)</f>
        <v>7.5</v>
      </c>
      <c r="K18" s="45" t="s">
        <v>16</v>
      </c>
      <c r="L18" s="45"/>
      <c r="M18" s="77" t="e">
        <f>ROUND(#REF!+(#REF!*3/100),2)</f>
        <v>#REF!</v>
      </c>
      <c r="N18" s="65" t="s">
        <v>183</v>
      </c>
      <c r="O18" s="46" t="s">
        <v>33</v>
      </c>
      <c r="P18" s="43"/>
      <c r="Q18" s="47">
        <v>2</v>
      </c>
      <c r="R18" s="85">
        <f t="shared" si="1"/>
        <v>1.5</v>
      </c>
    </row>
    <row r="19" spans="1:18" ht="18.95" customHeight="1">
      <c r="A19" s="244"/>
      <c r="B19" s="65"/>
      <c r="C19" s="42" t="s">
        <v>21</v>
      </c>
      <c r="D19" s="43" t="s">
        <v>22</v>
      </c>
      <c r="E19" s="48">
        <v>0.5</v>
      </c>
      <c r="F19" s="45" t="s">
        <v>23</v>
      </c>
      <c r="G19" s="69"/>
      <c r="H19" s="73" t="s">
        <v>21</v>
      </c>
      <c r="I19" s="43" t="s">
        <v>22</v>
      </c>
      <c r="J19" s="45">
        <f>ROUNDUP(E19*0.75,2)</f>
        <v>0.38</v>
      </c>
      <c r="K19" s="45" t="s">
        <v>23</v>
      </c>
      <c r="L19" s="45"/>
      <c r="M19" s="77" t="e">
        <f>#REF!</f>
        <v>#REF!</v>
      </c>
      <c r="N19" s="65" t="s">
        <v>13</v>
      </c>
      <c r="O19" s="46" t="s">
        <v>60</v>
      </c>
      <c r="P19" s="43"/>
      <c r="Q19" s="47">
        <v>3</v>
      </c>
      <c r="R19" s="85">
        <f t="shared" si="1"/>
        <v>2.25</v>
      </c>
    </row>
    <row r="20" spans="1:18" ht="18.95" customHeight="1">
      <c r="A20" s="244"/>
      <c r="B20" s="65"/>
      <c r="C20" s="42"/>
      <c r="D20" s="43"/>
      <c r="E20" s="44"/>
      <c r="F20" s="45"/>
      <c r="G20" s="69"/>
      <c r="H20" s="73"/>
      <c r="I20" s="43"/>
      <c r="J20" s="45"/>
      <c r="K20" s="45"/>
      <c r="L20" s="45"/>
      <c r="M20" s="77"/>
      <c r="N20" s="65"/>
      <c r="O20" s="46" t="s">
        <v>26</v>
      </c>
      <c r="P20" s="43"/>
      <c r="Q20" s="47">
        <v>0.2</v>
      </c>
      <c r="R20" s="85">
        <f t="shared" si="1"/>
        <v>0.15</v>
      </c>
    </row>
    <row r="21" spans="1:18" ht="18.95" customHeight="1">
      <c r="A21" s="244"/>
      <c r="B21" s="65"/>
      <c r="C21" s="42"/>
      <c r="D21" s="43"/>
      <c r="E21" s="44"/>
      <c r="F21" s="45"/>
      <c r="G21" s="69"/>
      <c r="H21" s="73"/>
      <c r="I21" s="43"/>
      <c r="J21" s="45"/>
      <c r="K21" s="45"/>
      <c r="L21" s="45"/>
      <c r="M21" s="77"/>
      <c r="N21" s="65"/>
      <c r="O21" s="46" t="s">
        <v>27</v>
      </c>
      <c r="P21" s="43" t="s">
        <v>15</v>
      </c>
      <c r="Q21" s="47">
        <v>2</v>
      </c>
      <c r="R21" s="85">
        <f t="shared" si="1"/>
        <v>1.5</v>
      </c>
    </row>
    <row r="22" spans="1:18" ht="18.95" customHeight="1">
      <c r="A22" s="244"/>
      <c r="B22" s="66"/>
      <c r="C22" s="49"/>
      <c r="D22" s="50"/>
      <c r="E22" s="51"/>
      <c r="F22" s="52"/>
      <c r="G22" s="70"/>
      <c r="H22" s="74"/>
      <c r="I22" s="50"/>
      <c r="J22" s="52"/>
      <c r="K22" s="52"/>
      <c r="L22" s="52"/>
      <c r="M22" s="78"/>
      <c r="N22" s="66"/>
      <c r="O22" s="53"/>
      <c r="P22" s="50"/>
      <c r="Q22" s="54"/>
      <c r="R22" s="86"/>
    </row>
    <row r="23" spans="1:18" ht="18.95" customHeight="1">
      <c r="A23" s="244"/>
      <c r="B23" s="65" t="s">
        <v>92</v>
      </c>
      <c r="C23" s="42" t="s">
        <v>56</v>
      </c>
      <c r="D23" s="43"/>
      <c r="E23" s="44">
        <v>20</v>
      </c>
      <c r="F23" s="45" t="s">
        <v>16</v>
      </c>
      <c r="G23" s="69"/>
      <c r="H23" s="73" t="s">
        <v>56</v>
      </c>
      <c r="I23" s="43"/>
      <c r="J23" s="45">
        <f>ROUNDUP(E23*0.75,2)</f>
        <v>15</v>
      </c>
      <c r="K23" s="45" t="s">
        <v>16</v>
      </c>
      <c r="L23" s="45"/>
      <c r="M23" s="77" t="e">
        <f>ROUND(#REF!+(#REF!*6/100),2)</f>
        <v>#REF!</v>
      </c>
      <c r="N23" s="65" t="s">
        <v>13</v>
      </c>
      <c r="O23" s="46" t="s">
        <v>24</v>
      </c>
      <c r="P23" s="43"/>
      <c r="Q23" s="47">
        <v>100</v>
      </c>
      <c r="R23" s="85">
        <f>ROUNDUP(Q23*0.75,2)</f>
        <v>75</v>
      </c>
    </row>
    <row r="24" spans="1:18" ht="18.95" customHeight="1">
      <c r="A24" s="244"/>
      <c r="B24" s="65"/>
      <c r="C24" s="42" t="s">
        <v>80</v>
      </c>
      <c r="D24" s="43"/>
      <c r="E24" s="44">
        <v>0.5</v>
      </c>
      <c r="F24" s="45" t="s">
        <v>16</v>
      </c>
      <c r="G24" s="69" t="s">
        <v>81</v>
      </c>
      <c r="H24" s="73" t="s">
        <v>80</v>
      </c>
      <c r="I24" s="43"/>
      <c r="J24" s="45">
        <f>ROUNDUP(E24*0.75,2)</f>
        <v>0.38</v>
      </c>
      <c r="K24" s="45" t="s">
        <v>16</v>
      </c>
      <c r="L24" s="45" t="s">
        <v>81</v>
      </c>
      <c r="M24" s="77" t="e">
        <f>#REF!</f>
        <v>#REF!</v>
      </c>
      <c r="N24" s="65"/>
      <c r="O24" s="46" t="s">
        <v>94</v>
      </c>
      <c r="P24" s="43"/>
      <c r="Q24" s="47">
        <v>3</v>
      </c>
      <c r="R24" s="85">
        <f>ROUNDUP(Q24*0.75,2)</f>
        <v>2.25</v>
      </c>
    </row>
    <row r="25" spans="1:18" ht="18.95" customHeight="1">
      <c r="A25" s="244"/>
      <c r="B25" s="66"/>
      <c r="C25" s="49"/>
      <c r="D25" s="50"/>
      <c r="E25" s="51"/>
      <c r="F25" s="52"/>
      <c r="G25" s="70"/>
      <c r="H25" s="74"/>
      <c r="I25" s="50"/>
      <c r="J25" s="52"/>
      <c r="K25" s="52"/>
      <c r="L25" s="52"/>
      <c r="M25" s="78"/>
      <c r="N25" s="66"/>
      <c r="O25" s="53"/>
      <c r="P25" s="50"/>
      <c r="Q25" s="54"/>
      <c r="R25" s="86"/>
    </row>
    <row r="26" spans="1:18" ht="18.95" customHeight="1">
      <c r="A26" s="244"/>
      <c r="B26" s="65" t="s">
        <v>34</v>
      </c>
      <c r="C26" s="42" t="s">
        <v>36</v>
      </c>
      <c r="D26" s="43"/>
      <c r="E26" s="55">
        <v>0.16666666666666666</v>
      </c>
      <c r="F26" s="45" t="s">
        <v>23</v>
      </c>
      <c r="G26" s="69"/>
      <c r="H26" s="73" t="s">
        <v>36</v>
      </c>
      <c r="I26" s="43"/>
      <c r="J26" s="45">
        <f>ROUNDUP(E26*0.75,2)</f>
        <v>0.13</v>
      </c>
      <c r="K26" s="45" t="s">
        <v>23</v>
      </c>
      <c r="L26" s="45"/>
      <c r="M26" s="77" t="e">
        <f>#REF!</f>
        <v>#REF!</v>
      </c>
      <c r="N26" s="65" t="s">
        <v>35</v>
      </c>
      <c r="O26" s="46"/>
      <c r="P26" s="43"/>
      <c r="Q26" s="47"/>
      <c r="R26" s="85"/>
    </row>
    <row r="27" spans="1:18" ht="18.95" customHeight="1" thickBot="1">
      <c r="A27" s="245"/>
      <c r="B27" s="67"/>
      <c r="C27" s="56"/>
      <c r="D27" s="57"/>
      <c r="E27" s="58"/>
      <c r="F27" s="59"/>
      <c r="G27" s="71"/>
      <c r="H27" s="75"/>
      <c r="I27" s="57"/>
      <c r="J27" s="59"/>
      <c r="K27" s="59"/>
      <c r="L27" s="59"/>
      <c r="M27" s="79"/>
      <c r="N27" s="67"/>
      <c r="O27" s="60"/>
      <c r="P27" s="57"/>
      <c r="Q27" s="61"/>
      <c r="R27" s="87"/>
    </row>
  </sheetData>
  <mergeCells count="4">
    <mergeCell ref="H1:N1"/>
    <mergeCell ref="A2:R2"/>
    <mergeCell ref="A3:F3"/>
    <mergeCell ref="A5:A27"/>
  </mergeCells>
  <phoneticPr fontId="17"/>
  <printOptions horizontalCentered="1" verticalCentered="1"/>
  <pageMargins left="0.39370078740157483" right="0.39370078740157483" top="0.39370078740157483" bottom="0.39370078740157483" header="0.39370078740157483" footer="0.39370078740157483"/>
  <pageSetup paperSize="12" scale="5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5"/>
  <sheetViews>
    <sheetView showZeros="0" zoomScale="60" zoomScaleNormal="60" zoomScaleSheetLayoutView="80" workbookViewId="0"/>
  </sheetViews>
  <sheetFormatPr defaultRowHeight="18.75" customHeight="1"/>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c r="A1" s="1" t="s">
        <v>12</v>
      </c>
      <c r="B1" s="1"/>
      <c r="C1" s="2"/>
      <c r="D1" s="3"/>
      <c r="E1" s="2"/>
      <c r="F1" s="2"/>
      <c r="G1" s="2"/>
      <c r="H1" s="239"/>
      <c r="I1" s="239"/>
      <c r="J1" s="240"/>
      <c r="K1" s="240"/>
      <c r="L1" s="240"/>
      <c r="M1" s="240"/>
      <c r="N1" s="240"/>
      <c r="O1" s="2"/>
      <c r="P1" s="2"/>
      <c r="Q1" s="4"/>
      <c r="R1" s="4"/>
      <c r="S1" s="3"/>
    </row>
    <row r="2" spans="1:19" ht="36.75" customHeight="1">
      <c r="A2" s="239" t="s">
        <v>0</v>
      </c>
      <c r="B2" s="239"/>
      <c r="C2" s="240"/>
      <c r="D2" s="240"/>
      <c r="E2" s="240"/>
      <c r="F2" s="240"/>
      <c r="G2" s="240"/>
      <c r="H2" s="240"/>
      <c r="I2" s="240"/>
      <c r="J2" s="240"/>
      <c r="K2" s="240"/>
      <c r="L2" s="240"/>
      <c r="M2" s="240"/>
      <c r="N2" s="240"/>
      <c r="O2" s="240"/>
      <c r="P2" s="240"/>
      <c r="Q2" s="240"/>
      <c r="R2" s="240"/>
      <c r="S2" s="3"/>
    </row>
    <row r="3" spans="1:19" ht="27.75" customHeight="1" thickBot="1">
      <c r="A3" s="241" t="s">
        <v>233</v>
      </c>
      <c r="B3" s="242"/>
      <c r="C3" s="242"/>
      <c r="D3" s="242"/>
      <c r="E3" s="242"/>
      <c r="F3" s="242"/>
      <c r="G3" s="2"/>
      <c r="H3" s="2"/>
      <c r="I3" s="12"/>
      <c r="J3" s="2"/>
      <c r="K3" s="7"/>
      <c r="L3" s="7"/>
      <c r="M3" s="10"/>
      <c r="N3" s="2"/>
      <c r="O3" s="13"/>
      <c r="P3" s="12"/>
      <c r="Q3" s="14"/>
      <c r="R3" s="14"/>
      <c r="S3" s="11"/>
    </row>
    <row r="4" spans="1:19" customFormat="1" ht="42" customHeight="1" thickBot="1">
      <c r="A4" s="15"/>
      <c r="B4" s="16" t="s">
        <v>1</v>
      </c>
      <c r="C4" s="17" t="s">
        <v>2</v>
      </c>
      <c r="D4" s="18" t="s">
        <v>281</v>
      </c>
      <c r="E4" s="34" t="s">
        <v>6</v>
      </c>
      <c r="F4" s="19" t="s">
        <v>4</v>
      </c>
      <c r="G4" s="17" t="s">
        <v>5</v>
      </c>
      <c r="H4" s="16" t="s">
        <v>2</v>
      </c>
      <c r="I4" s="18" t="s">
        <v>281</v>
      </c>
      <c r="J4" s="35" t="s">
        <v>3</v>
      </c>
      <c r="K4" s="19" t="s">
        <v>4</v>
      </c>
      <c r="L4" s="19" t="s">
        <v>5</v>
      </c>
      <c r="M4" s="21" t="s">
        <v>7</v>
      </c>
      <c r="N4" s="22" t="s">
        <v>8</v>
      </c>
      <c r="O4" s="19" t="s">
        <v>9</v>
      </c>
      <c r="P4" s="23" t="s">
        <v>281</v>
      </c>
      <c r="Q4" s="20" t="s">
        <v>11</v>
      </c>
      <c r="R4" s="24" t="s">
        <v>10</v>
      </c>
      <c r="S4" s="25"/>
    </row>
    <row r="5" spans="1:19" ht="21.95" customHeight="1">
      <c r="A5" s="243" t="s">
        <v>37</v>
      </c>
      <c r="B5" s="64" t="s">
        <v>53</v>
      </c>
      <c r="C5" s="36"/>
      <c r="D5" s="37"/>
      <c r="E5" s="38"/>
      <c r="F5" s="39"/>
      <c r="G5" s="68"/>
      <c r="H5" s="72"/>
      <c r="I5" s="37"/>
      <c r="J5" s="39"/>
      <c r="K5" s="39"/>
      <c r="L5" s="39"/>
      <c r="M5" s="76"/>
      <c r="N5" s="64"/>
      <c r="O5" s="40" t="s">
        <v>53</v>
      </c>
      <c r="P5" s="37"/>
      <c r="Q5" s="41">
        <v>110</v>
      </c>
      <c r="R5" s="84">
        <f>ROUNDUP(Q5*0.75,2)</f>
        <v>82.5</v>
      </c>
    </row>
    <row r="6" spans="1:19" ht="21.95" customHeight="1">
      <c r="A6" s="244"/>
      <c r="B6" s="66"/>
      <c r="C6" s="49"/>
      <c r="D6" s="50"/>
      <c r="E6" s="51"/>
      <c r="F6" s="52"/>
      <c r="G6" s="70"/>
      <c r="H6" s="74"/>
      <c r="I6" s="50"/>
      <c r="J6" s="52"/>
      <c r="K6" s="52"/>
      <c r="L6" s="52"/>
      <c r="M6" s="78"/>
      <c r="N6" s="66"/>
      <c r="O6" s="53"/>
      <c r="P6" s="50"/>
      <c r="Q6" s="54"/>
      <c r="R6" s="86"/>
    </row>
    <row r="7" spans="1:19" ht="21.95" customHeight="1">
      <c r="A7" s="244"/>
      <c r="B7" s="65" t="s">
        <v>186</v>
      </c>
      <c r="C7" s="42" t="s">
        <v>74</v>
      </c>
      <c r="D7" s="43"/>
      <c r="E7" s="44">
        <v>50</v>
      </c>
      <c r="F7" s="45" t="s">
        <v>16</v>
      </c>
      <c r="G7" s="69"/>
      <c r="H7" s="73" t="s">
        <v>74</v>
      </c>
      <c r="I7" s="43"/>
      <c r="J7" s="45">
        <f>ROUNDUP(E7*0.75,2)</f>
        <v>37.5</v>
      </c>
      <c r="K7" s="45" t="s">
        <v>16</v>
      </c>
      <c r="L7" s="45"/>
      <c r="M7" s="77" t="e">
        <f>ROUND(#REF!+(#REF!*10/100),2)</f>
        <v>#REF!</v>
      </c>
      <c r="N7" s="65" t="s">
        <v>187</v>
      </c>
      <c r="O7" s="46" t="s">
        <v>32</v>
      </c>
      <c r="P7" s="43"/>
      <c r="Q7" s="47">
        <v>1</v>
      </c>
      <c r="R7" s="85">
        <f t="shared" ref="R7:R13" si="0">ROUNDUP(Q7*0.75,2)</f>
        <v>0.75</v>
      </c>
    </row>
    <row r="8" spans="1:19" ht="21.95" customHeight="1">
      <c r="A8" s="244"/>
      <c r="B8" s="65"/>
      <c r="C8" s="42" t="s">
        <v>56</v>
      </c>
      <c r="D8" s="43"/>
      <c r="E8" s="44">
        <v>20</v>
      </c>
      <c r="F8" s="45" t="s">
        <v>16</v>
      </c>
      <c r="G8" s="69"/>
      <c r="H8" s="73" t="s">
        <v>56</v>
      </c>
      <c r="I8" s="43"/>
      <c r="J8" s="45">
        <f>ROUNDUP(E8*0.75,2)</f>
        <v>15</v>
      </c>
      <c r="K8" s="45" t="s">
        <v>16</v>
      </c>
      <c r="L8" s="45"/>
      <c r="M8" s="77" t="e">
        <f>ROUND(#REF!+(#REF!*6/100),2)</f>
        <v>#REF!</v>
      </c>
      <c r="N8" s="65" t="s">
        <v>188</v>
      </c>
      <c r="O8" s="46" t="s">
        <v>26</v>
      </c>
      <c r="P8" s="43"/>
      <c r="Q8" s="47">
        <v>0.1</v>
      </c>
      <c r="R8" s="85">
        <f t="shared" si="0"/>
        <v>0.08</v>
      </c>
    </row>
    <row r="9" spans="1:19" ht="21.95" customHeight="1">
      <c r="A9" s="244"/>
      <c r="B9" s="65"/>
      <c r="C9" s="42" t="s">
        <v>82</v>
      </c>
      <c r="D9" s="43"/>
      <c r="E9" s="44">
        <v>20</v>
      </c>
      <c r="F9" s="45" t="s">
        <v>16</v>
      </c>
      <c r="G9" s="69" t="s">
        <v>83</v>
      </c>
      <c r="H9" s="73" t="s">
        <v>82</v>
      </c>
      <c r="I9" s="43"/>
      <c r="J9" s="45">
        <f>ROUNDUP(E9*0.75,2)</f>
        <v>15</v>
      </c>
      <c r="K9" s="45" t="s">
        <v>16</v>
      </c>
      <c r="L9" s="45" t="s">
        <v>83</v>
      </c>
      <c r="M9" s="77" t="e">
        <f>#REF!</f>
        <v>#REF!</v>
      </c>
      <c r="N9" s="65" t="s">
        <v>266</v>
      </c>
      <c r="O9" s="46" t="s">
        <v>108</v>
      </c>
      <c r="P9" s="43"/>
      <c r="Q9" s="47">
        <v>0.01</v>
      </c>
      <c r="R9" s="85">
        <f t="shared" si="0"/>
        <v>0.01</v>
      </c>
    </row>
    <row r="10" spans="1:19" ht="21.95" customHeight="1">
      <c r="A10" s="244"/>
      <c r="B10" s="65"/>
      <c r="C10" s="42" t="s">
        <v>106</v>
      </c>
      <c r="D10" s="43" t="s">
        <v>15</v>
      </c>
      <c r="E10" s="44">
        <v>6</v>
      </c>
      <c r="F10" s="45" t="s">
        <v>16</v>
      </c>
      <c r="G10" s="69" t="s">
        <v>107</v>
      </c>
      <c r="H10" s="73" t="s">
        <v>106</v>
      </c>
      <c r="I10" s="43" t="s">
        <v>15</v>
      </c>
      <c r="J10" s="45">
        <f>ROUNDUP(E10*0.75,2)</f>
        <v>4.5</v>
      </c>
      <c r="K10" s="45" t="s">
        <v>16</v>
      </c>
      <c r="L10" s="45" t="s">
        <v>107</v>
      </c>
      <c r="M10" s="77" t="e">
        <f>#REF!</f>
        <v>#REF!</v>
      </c>
      <c r="N10" s="65" t="s">
        <v>267</v>
      </c>
      <c r="O10" s="46" t="s">
        <v>48</v>
      </c>
      <c r="P10" s="43" t="s">
        <v>15</v>
      </c>
      <c r="Q10" s="47">
        <v>4</v>
      </c>
      <c r="R10" s="85">
        <f t="shared" si="0"/>
        <v>3</v>
      </c>
    </row>
    <row r="11" spans="1:19" ht="21.95" customHeight="1">
      <c r="A11" s="244"/>
      <c r="B11" s="65"/>
      <c r="C11" s="42" t="s">
        <v>45</v>
      </c>
      <c r="D11" s="43"/>
      <c r="E11" s="44">
        <v>20</v>
      </c>
      <c r="F11" s="45" t="s">
        <v>16</v>
      </c>
      <c r="G11" s="69"/>
      <c r="H11" s="73" t="s">
        <v>45</v>
      </c>
      <c r="I11" s="43"/>
      <c r="J11" s="45">
        <f>ROUNDUP(E11*0.75,2)</f>
        <v>15</v>
      </c>
      <c r="K11" s="45" t="s">
        <v>16</v>
      </c>
      <c r="L11" s="45"/>
      <c r="M11" s="77" t="e">
        <f>ROUND(#REF!+(#REF!*15/100),2)</f>
        <v>#REF!</v>
      </c>
      <c r="N11" s="65" t="s">
        <v>189</v>
      </c>
      <c r="O11" s="46" t="s">
        <v>48</v>
      </c>
      <c r="P11" s="43" t="s">
        <v>15</v>
      </c>
      <c r="Q11" s="47">
        <v>4</v>
      </c>
      <c r="R11" s="85">
        <f t="shared" si="0"/>
        <v>3</v>
      </c>
    </row>
    <row r="12" spans="1:19" ht="21.95" customHeight="1">
      <c r="A12" s="244"/>
      <c r="B12" s="65"/>
      <c r="C12" s="42"/>
      <c r="D12" s="43"/>
      <c r="E12" s="44"/>
      <c r="F12" s="45"/>
      <c r="G12" s="69"/>
      <c r="H12" s="73"/>
      <c r="I12" s="43"/>
      <c r="J12" s="45"/>
      <c r="K12" s="45"/>
      <c r="L12" s="45"/>
      <c r="M12" s="77"/>
      <c r="N12" s="65" t="s">
        <v>29</v>
      </c>
      <c r="O12" s="46" t="s">
        <v>49</v>
      </c>
      <c r="P12" s="43"/>
      <c r="Q12" s="47">
        <v>8</v>
      </c>
      <c r="R12" s="85">
        <f t="shared" si="0"/>
        <v>6</v>
      </c>
    </row>
    <row r="13" spans="1:19" ht="21.95" customHeight="1">
      <c r="A13" s="244"/>
      <c r="B13" s="65"/>
      <c r="C13" s="42"/>
      <c r="D13" s="43"/>
      <c r="E13" s="44"/>
      <c r="F13" s="45"/>
      <c r="G13" s="69"/>
      <c r="H13" s="73"/>
      <c r="I13" s="43"/>
      <c r="J13" s="45"/>
      <c r="K13" s="45"/>
      <c r="L13" s="45"/>
      <c r="M13" s="77"/>
      <c r="N13" s="65"/>
      <c r="O13" s="46" t="s">
        <v>32</v>
      </c>
      <c r="P13" s="43"/>
      <c r="Q13" s="47">
        <v>5</v>
      </c>
      <c r="R13" s="85">
        <f t="shared" si="0"/>
        <v>3.75</v>
      </c>
    </row>
    <row r="14" spans="1:19" ht="21.95" customHeight="1">
      <c r="A14" s="244"/>
      <c r="B14" s="66"/>
      <c r="C14" s="49"/>
      <c r="D14" s="50"/>
      <c r="E14" s="51"/>
      <c r="F14" s="52"/>
      <c r="G14" s="70"/>
      <c r="H14" s="74"/>
      <c r="I14" s="50"/>
      <c r="J14" s="52"/>
      <c r="K14" s="52"/>
      <c r="L14" s="52"/>
      <c r="M14" s="78"/>
      <c r="N14" s="66"/>
      <c r="O14" s="53"/>
      <c r="P14" s="50"/>
      <c r="Q14" s="54"/>
      <c r="R14" s="86"/>
    </row>
    <row r="15" spans="1:19" ht="21.95" customHeight="1">
      <c r="A15" s="244"/>
      <c r="B15" s="65" t="s">
        <v>190</v>
      </c>
      <c r="C15" s="42" t="s">
        <v>122</v>
      </c>
      <c r="D15" s="43"/>
      <c r="E15" s="44">
        <v>20</v>
      </c>
      <c r="F15" s="45" t="s">
        <v>16</v>
      </c>
      <c r="G15" s="69" t="s">
        <v>18</v>
      </c>
      <c r="H15" s="73" t="s">
        <v>122</v>
      </c>
      <c r="I15" s="43"/>
      <c r="J15" s="45">
        <f>ROUNDUP(E15*0.75,2)</f>
        <v>15</v>
      </c>
      <c r="K15" s="45" t="s">
        <v>16</v>
      </c>
      <c r="L15" s="45" t="s">
        <v>18</v>
      </c>
      <c r="M15" s="77" t="e">
        <f>#REF!</f>
        <v>#REF!</v>
      </c>
      <c r="N15" s="65" t="s">
        <v>191</v>
      </c>
      <c r="O15" s="46" t="s">
        <v>33</v>
      </c>
      <c r="P15" s="43"/>
      <c r="Q15" s="47">
        <v>0.3</v>
      </c>
      <c r="R15" s="85">
        <f>ROUNDUP(Q15*0.75,2)</f>
        <v>0.23</v>
      </c>
    </row>
    <row r="16" spans="1:19" ht="21.95" customHeight="1">
      <c r="A16" s="244"/>
      <c r="B16" s="65"/>
      <c r="C16" s="42" t="s">
        <v>159</v>
      </c>
      <c r="D16" s="43"/>
      <c r="E16" s="44">
        <v>10</v>
      </c>
      <c r="F16" s="45" t="s">
        <v>16</v>
      </c>
      <c r="G16" s="69"/>
      <c r="H16" s="73" t="s">
        <v>159</v>
      </c>
      <c r="I16" s="43"/>
      <c r="J16" s="45">
        <f>ROUNDUP(E16*0.75,2)</f>
        <v>7.5</v>
      </c>
      <c r="K16" s="45" t="s">
        <v>16</v>
      </c>
      <c r="L16" s="45"/>
      <c r="M16" s="77" t="e">
        <f>ROUND(#REF!+(#REF!*2/100),2)</f>
        <v>#REF!</v>
      </c>
      <c r="N16" s="65" t="s">
        <v>114</v>
      </c>
      <c r="O16" s="46" t="s">
        <v>50</v>
      </c>
      <c r="P16" s="43" t="s">
        <v>51</v>
      </c>
      <c r="Q16" s="47">
        <v>2</v>
      </c>
      <c r="R16" s="85">
        <f>ROUNDUP(Q16*0.75,2)</f>
        <v>1.5</v>
      </c>
    </row>
    <row r="17" spans="1:18" ht="21.95" customHeight="1">
      <c r="A17" s="244"/>
      <c r="B17" s="65"/>
      <c r="C17" s="42" t="s">
        <v>20</v>
      </c>
      <c r="D17" s="43"/>
      <c r="E17" s="44">
        <v>10</v>
      </c>
      <c r="F17" s="45" t="s">
        <v>16</v>
      </c>
      <c r="G17" s="69"/>
      <c r="H17" s="73" t="s">
        <v>20</v>
      </c>
      <c r="I17" s="43"/>
      <c r="J17" s="45">
        <f>ROUNDUP(E17*0.75,2)</f>
        <v>7.5</v>
      </c>
      <c r="K17" s="45" t="s">
        <v>16</v>
      </c>
      <c r="L17" s="45"/>
      <c r="M17" s="77" t="e">
        <f>ROUND(#REF!+(#REF!*3/100),2)</f>
        <v>#REF!</v>
      </c>
      <c r="N17" s="65" t="s">
        <v>52</v>
      </c>
      <c r="O17" s="46" t="s">
        <v>76</v>
      </c>
      <c r="P17" s="43"/>
      <c r="Q17" s="47">
        <v>2</v>
      </c>
      <c r="R17" s="85">
        <f>ROUNDUP(Q17*0.75,2)</f>
        <v>1.5</v>
      </c>
    </row>
    <row r="18" spans="1:18" ht="21.95" customHeight="1">
      <c r="A18" s="244"/>
      <c r="B18" s="65"/>
      <c r="C18" s="42"/>
      <c r="D18" s="43"/>
      <c r="E18" s="44"/>
      <c r="F18" s="45"/>
      <c r="G18" s="69"/>
      <c r="H18" s="73"/>
      <c r="I18" s="43"/>
      <c r="J18" s="45"/>
      <c r="K18" s="45"/>
      <c r="L18" s="45"/>
      <c r="M18" s="77"/>
      <c r="N18" s="65" t="s">
        <v>13</v>
      </c>
      <c r="O18" s="46"/>
      <c r="P18" s="43"/>
      <c r="Q18" s="47"/>
      <c r="R18" s="85"/>
    </row>
    <row r="19" spans="1:18" ht="21.95" customHeight="1">
      <c r="A19" s="244"/>
      <c r="B19" s="66"/>
      <c r="C19" s="49"/>
      <c r="D19" s="50"/>
      <c r="E19" s="51"/>
      <c r="F19" s="52"/>
      <c r="G19" s="70"/>
      <c r="H19" s="74"/>
      <c r="I19" s="50"/>
      <c r="J19" s="52"/>
      <c r="K19" s="52"/>
      <c r="L19" s="52"/>
      <c r="M19" s="78"/>
      <c r="N19" s="66"/>
      <c r="O19" s="53"/>
      <c r="P19" s="50"/>
      <c r="Q19" s="54"/>
      <c r="R19" s="86"/>
    </row>
    <row r="20" spans="1:18" ht="21.95" customHeight="1">
      <c r="A20" s="244"/>
      <c r="B20" s="65" t="s">
        <v>92</v>
      </c>
      <c r="C20" s="42" t="s">
        <v>171</v>
      </c>
      <c r="D20" s="43" t="s">
        <v>15</v>
      </c>
      <c r="E20" s="63">
        <v>0.1</v>
      </c>
      <c r="F20" s="45" t="s">
        <v>63</v>
      </c>
      <c r="G20" s="69"/>
      <c r="H20" s="73" t="s">
        <v>171</v>
      </c>
      <c r="I20" s="43" t="s">
        <v>15</v>
      </c>
      <c r="J20" s="45">
        <f>ROUNDUP(E20*0.75,2)</f>
        <v>0.08</v>
      </c>
      <c r="K20" s="45" t="s">
        <v>63</v>
      </c>
      <c r="L20" s="45"/>
      <c r="M20" s="77"/>
      <c r="N20" s="65" t="s">
        <v>13</v>
      </c>
      <c r="O20" s="46" t="s">
        <v>24</v>
      </c>
      <c r="P20" s="43"/>
      <c r="Q20" s="47">
        <v>100</v>
      </c>
      <c r="R20" s="85">
        <f>ROUNDUP(Q20*0.75,2)</f>
        <v>75</v>
      </c>
    </row>
    <row r="21" spans="1:18" ht="21.95" customHeight="1">
      <c r="A21" s="244"/>
      <c r="B21" s="65"/>
      <c r="C21" s="42" t="s">
        <v>192</v>
      </c>
      <c r="D21" s="43"/>
      <c r="E21" s="44">
        <v>5</v>
      </c>
      <c r="F21" s="45" t="s">
        <v>16</v>
      </c>
      <c r="G21" s="69"/>
      <c r="H21" s="73" t="s">
        <v>192</v>
      </c>
      <c r="I21" s="43"/>
      <c r="J21" s="45">
        <f>ROUNDUP(E21*0.75,2)</f>
        <v>3.75</v>
      </c>
      <c r="K21" s="45" t="s">
        <v>16</v>
      </c>
      <c r="L21" s="45"/>
      <c r="M21" s="77" t="e">
        <f>ROUND(#REF!+(#REF!*10/100),2)</f>
        <v>#REF!</v>
      </c>
      <c r="N21" s="65"/>
      <c r="O21" s="46" t="s">
        <v>94</v>
      </c>
      <c r="P21" s="43"/>
      <c r="Q21" s="47">
        <v>3</v>
      </c>
      <c r="R21" s="85">
        <f>ROUNDUP(Q21*0.75,2)</f>
        <v>2.25</v>
      </c>
    </row>
    <row r="22" spans="1:18" ht="21.95" customHeight="1" thickBot="1">
      <c r="A22" s="245"/>
      <c r="B22" s="67"/>
      <c r="C22" s="56"/>
      <c r="D22" s="57"/>
      <c r="E22" s="58"/>
      <c r="F22" s="59"/>
      <c r="G22" s="71"/>
      <c r="H22" s="75"/>
      <c r="I22" s="57"/>
      <c r="J22" s="59"/>
      <c r="K22" s="59"/>
      <c r="L22" s="59"/>
      <c r="M22" s="79"/>
      <c r="N22" s="67"/>
      <c r="O22" s="60"/>
      <c r="P22" s="57"/>
      <c r="Q22" s="61"/>
      <c r="R22" s="87"/>
    </row>
    <row r="23" spans="1:18" ht="21.95" customHeight="1"/>
    <row r="24" spans="1:18" ht="21.95" customHeight="1"/>
    <row r="25" spans="1:18" ht="21.95" customHeight="1"/>
  </sheetData>
  <mergeCells count="4">
    <mergeCell ref="H1:N1"/>
    <mergeCell ref="A2:R2"/>
    <mergeCell ref="A3:F3"/>
    <mergeCell ref="A5:A22"/>
  </mergeCells>
  <phoneticPr fontId="17"/>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5"/>
  <sheetViews>
    <sheetView showZeros="0" zoomScale="60" zoomScaleNormal="60" zoomScaleSheetLayoutView="80" workbookViewId="0"/>
  </sheetViews>
  <sheetFormatPr defaultRowHeight="18.75" customHeight="1"/>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c r="A1" s="1" t="s">
        <v>12</v>
      </c>
      <c r="B1" s="1"/>
      <c r="C1" s="2"/>
      <c r="D1" s="3"/>
      <c r="E1" s="2"/>
      <c r="F1" s="2"/>
      <c r="G1" s="2"/>
      <c r="H1" s="239"/>
      <c r="I1" s="239"/>
      <c r="J1" s="240"/>
      <c r="K1" s="240"/>
      <c r="L1" s="240"/>
      <c r="M1" s="240"/>
      <c r="N1" s="240"/>
      <c r="O1" s="2"/>
      <c r="P1" s="2"/>
      <c r="Q1" s="4"/>
      <c r="R1" s="4"/>
      <c r="S1" s="3"/>
    </row>
    <row r="2" spans="1:19" ht="36.75" customHeight="1">
      <c r="A2" s="239" t="s">
        <v>0</v>
      </c>
      <c r="B2" s="239"/>
      <c r="C2" s="240"/>
      <c r="D2" s="240"/>
      <c r="E2" s="240"/>
      <c r="F2" s="240"/>
      <c r="G2" s="240"/>
      <c r="H2" s="240"/>
      <c r="I2" s="240"/>
      <c r="J2" s="240"/>
      <c r="K2" s="240"/>
      <c r="L2" s="240"/>
      <c r="M2" s="240"/>
      <c r="N2" s="240"/>
      <c r="O2" s="240"/>
      <c r="P2" s="240"/>
      <c r="Q2" s="240"/>
      <c r="R2" s="240"/>
      <c r="S2" s="3"/>
    </row>
    <row r="3" spans="1:19" ht="12.75" customHeight="1">
      <c r="A3" s="5"/>
      <c r="B3" s="247" t="s">
        <v>270</v>
      </c>
      <c r="C3" s="247"/>
      <c r="D3" s="3"/>
      <c r="E3" s="6"/>
      <c r="F3" s="2"/>
      <c r="G3" s="2"/>
      <c r="H3" s="2"/>
      <c r="I3" s="3"/>
      <c r="J3" s="2"/>
      <c r="K3" s="7"/>
      <c r="L3" s="7"/>
      <c r="M3" s="8"/>
      <c r="N3" s="2"/>
      <c r="O3"/>
      <c r="P3"/>
      <c r="Q3"/>
      <c r="R3"/>
      <c r="S3" s="3"/>
    </row>
    <row r="4" spans="1:19" ht="12.75" customHeight="1">
      <c r="A4" s="5"/>
      <c r="B4" s="247"/>
      <c r="C4" s="247"/>
      <c r="D4" s="9"/>
      <c r="E4" s="6"/>
      <c r="F4" s="2"/>
      <c r="G4" s="2"/>
      <c r="H4" s="2"/>
      <c r="I4" s="9"/>
      <c r="J4" s="2"/>
      <c r="K4" s="7"/>
      <c r="L4" s="7"/>
      <c r="M4" s="8"/>
      <c r="N4" s="2"/>
      <c r="O4"/>
      <c r="P4"/>
      <c r="Q4"/>
      <c r="R4"/>
      <c r="S4" s="3"/>
    </row>
    <row r="5" spans="1:19" ht="33" thickBot="1">
      <c r="A5" s="241" t="s">
        <v>234</v>
      </c>
      <c r="B5" s="242"/>
      <c r="C5" s="242"/>
      <c r="D5" s="242"/>
      <c r="E5" s="242"/>
      <c r="F5" s="242"/>
      <c r="G5" s="2"/>
      <c r="H5" s="2"/>
      <c r="I5" s="12"/>
      <c r="J5" s="2"/>
      <c r="K5" s="7"/>
      <c r="L5" s="7"/>
      <c r="M5" s="10"/>
      <c r="N5" s="2"/>
      <c r="O5" s="13"/>
      <c r="P5" s="12"/>
      <c r="Q5" s="14"/>
      <c r="R5" s="14"/>
      <c r="S5" s="11"/>
    </row>
    <row r="6" spans="1:19" customFormat="1" ht="18" thickBot="1">
      <c r="A6" s="15"/>
      <c r="B6" s="16" t="s">
        <v>1</v>
      </c>
      <c r="C6" s="17" t="s">
        <v>2</v>
      </c>
      <c r="D6" s="18" t="s">
        <v>281</v>
      </c>
      <c r="E6" s="34" t="s">
        <v>6</v>
      </c>
      <c r="F6" s="19" t="s">
        <v>4</v>
      </c>
      <c r="G6" s="17" t="s">
        <v>5</v>
      </c>
      <c r="H6" s="16" t="s">
        <v>2</v>
      </c>
      <c r="I6" s="18" t="s">
        <v>281</v>
      </c>
      <c r="J6" s="35" t="s">
        <v>3</v>
      </c>
      <c r="K6" s="19" t="s">
        <v>4</v>
      </c>
      <c r="L6" s="19" t="s">
        <v>5</v>
      </c>
      <c r="M6" s="21" t="s">
        <v>7</v>
      </c>
      <c r="N6" s="22" t="s">
        <v>8</v>
      </c>
      <c r="O6" s="19" t="s">
        <v>9</v>
      </c>
      <c r="P6" s="23" t="s">
        <v>281</v>
      </c>
      <c r="Q6" s="20" t="s">
        <v>11</v>
      </c>
      <c r="R6" s="24" t="s">
        <v>10</v>
      </c>
      <c r="S6" s="25"/>
    </row>
    <row r="7" spans="1:19" ht="18.95" customHeight="1">
      <c r="A7" s="243" t="s">
        <v>37</v>
      </c>
      <c r="B7" s="64" t="s">
        <v>235</v>
      </c>
      <c r="C7" s="36" t="s">
        <v>42</v>
      </c>
      <c r="D7" s="37" t="s">
        <v>43</v>
      </c>
      <c r="E7" s="80">
        <v>0.5</v>
      </c>
      <c r="F7" s="39" t="s">
        <v>44</v>
      </c>
      <c r="G7" s="68" t="s">
        <v>14</v>
      </c>
      <c r="H7" s="72" t="s">
        <v>42</v>
      </c>
      <c r="I7" s="37" t="s">
        <v>43</v>
      </c>
      <c r="J7" s="39">
        <f>ROUNDUP(E7*0.75,2)</f>
        <v>0.38</v>
      </c>
      <c r="K7" s="39" t="s">
        <v>44</v>
      </c>
      <c r="L7" s="39" t="s">
        <v>14</v>
      </c>
      <c r="M7" s="76" t="e">
        <f>#REF!</f>
        <v>#REF!</v>
      </c>
      <c r="N7" s="64" t="s">
        <v>236</v>
      </c>
      <c r="O7" s="40" t="s">
        <v>53</v>
      </c>
      <c r="P7" s="37"/>
      <c r="Q7" s="41">
        <v>110</v>
      </c>
      <c r="R7" s="84">
        <f>ROUNDUP(Q7*0.75,2)</f>
        <v>82.5</v>
      </c>
    </row>
    <row r="8" spans="1:19" ht="18.95" customHeight="1">
      <c r="A8" s="244"/>
      <c r="B8" s="65"/>
      <c r="C8" s="42" t="s">
        <v>46</v>
      </c>
      <c r="D8" s="43"/>
      <c r="E8" s="44">
        <v>5</v>
      </c>
      <c r="F8" s="45" t="s">
        <v>16</v>
      </c>
      <c r="G8" s="69" t="s">
        <v>47</v>
      </c>
      <c r="H8" s="73" t="s">
        <v>46</v>
      </c>
      <c r="I8" s="43"/>
      <c r="J8" s="45">
        <f>ROUNDUP(E8*0.75,2)</f>
        <v>3.75</v>
      </c>
      <c r="K8" s="45" t="s">
        <v>16</v>
      </c>
      <c r="L8" s="45" t="s">
        <v>47</v>
      </c>
      <c r="M8" s="77" t="e">
        <f>#REF!</f>
        <v>#REF!</v>
      </c>
      <c r="N8" s="65" t="s">
        <v>268</v>
      </c>
      <c r="O8" s="46" t="s">
        <v>32</v>
      </c>
      <c r="P8" s="43"/>
      <c r="Q8" s="47">
        <v>1</v>
      </c>
      <c r="R8" s="85">
        <f>ROUNDUP(Q8*0.75,2)</f>
        <v>0.75</v>
      </c>
    </row>
    <row r="9" spans="1:19" ht="18.95" customHeight="1">
      <c r="A9" s="244"/>
      <c r="B9" s="65"/>
      <c r="C9" s="42" t="s">
        <v>142</v>
      </c>
      <c r="D9" s="43"/>
      <c r="E9" s="44">
        <v>10</v>
      </c>
      <c r="F9" s="45" t="s">
        <v>16</v>
      </c>
      <c r="G9" s="69"/>
      <c r="H9" s="73" t="s">
        <v>142</v>
      </c>
      <c r="I9" s="43"/>
      <c r="J9" s="45">
        <f>ROUNDUP(E9*0.75,2)</f>
        <v>7.5</v>
      </c>
      <c r="K9" s="45" t="s">
        <v>16</v>
      </c>
      <c r="L9" s="45"/>
      <c r="M9" s="77" t="e">
        <f>ROUND(#REF!+(#REF!*10/100),2)</f>
        <v>#REF!</v>
      </c>
      <c r="N9" s="65" t="s">
        <v>269</v>
      </c>
      <c r="O9" s="46" t="s">
        <v>89</v>
      </c>
      <c r="P9" s="43" t="s">
        <v>39</v>
      </c>
      <c r="Q9" s="47">
        <v>1</v>
      </c>
      <c r="R9" s="85">
        <f>ROUNDUP(Q9*0.75,2)</f>
        <v>0.75</v>
      </c>
    </row>
    <row r="10" spans="1:19" ht="18.95" customHeight="1">
      <c r="A10" s="244"/>
      <c r="B10" s="65"/>
      <c r="C10" s="42" t="s">
        <v>241</v>
      </c>
      <c r="D10" s="43"/>
      <c r="E10" s="44">
        <v>1</v>
      </c>
      <c r="F10" s="45" t="s">
        <v>23</v>
      </c>
      <c r="G10" s="69"/>
      <c r="H10" s="73" t="s">
        <v>241</v>
      </c>
      <c r="I10" s="43"/>
      <c r="J10" s="45">
        <f>ROUNDUP(E10*0.75,2)</f>
        <v>0.75</v>
      </c>
      <c r="K10" s="45" t="s">
        <v>23</v>
      </c>
      <c r="L10" s="45"/>
      <c r="M10" s="77" t="e">
        <f>#REF!</f>
        <v>#REF!</v>
      </c>
      <c r="N10" s="65" t="s">
        <v>237</v>
      </c>
      <c r="O10" s="46" t="s">
        <v>157</v>
      </c>
      <c r="P10" s="43" t="s">
        <v>158</v>
      </c>
      <c r="Q10" s="47">
        <v>0.5</v>
      </c>
      <c r="R10" s="85">
        <f>ROUNDUP(Q10*0.75,2)</f>
        <v>0.38</v>
      </c>
    </row>
    <row r="11" spans="1:19" ht="18.95" customHeight="1">
      <c r="A11" s="244"/>
      <c r="B11" s="65"/>
      <c r="C11" s="42"/>
      <c r="D11" s="43"/>
      <c r="E11" s="44"/>
      <c r="F11" s="45"/>
      <c r="G11" s="69"/>
      <c r="H11" s="73"/>
      <c r="I11" s="43"/>
      <c r="J11" s="45"/>
      <c r="K11" s="45"/>
      <c r="L11" s="45"/>
      <c r="M11" s="77"/>
      <c r="N11" s="65" t="s">
        <v>238</v>
      </c>
      <c r="O11" s="46" t="s">
        <v>76</v>
      </c>
      <c r="P11" s="43"/>
      <c r="Q11" s="47">
        <v>8</v>
      </c>
      <c r="R11" s="85">
        <f>ROUNDUP(Q11*0.75,2)</f>
        <v>6</v>
      </c>
    </row>
    <row r="12" spans="1:19" ht="18.95" customHeight="1">
      <c r="A12" s="244"/>
      <c r="B12" s="65"/>
      <c r="C12" s="42"/>
      <c r="D12" s="43"/>
      <c r="E12" s="44"/>
      <c r="F12" s="45"/>
      <c r="G12" s="69"/>
      <c r="H12" s="73"/>
      <c r="I12" s="43"/>
      <c r="J12" s="45"/>
      <c r="K12" s="45"/>
      <c r="L12" s="45"/>
      <c r="M12" s="77"/>
      <c r="N12" s="65" t="s">
        <v>239</v>
      </c>
      <c r="O12" s="46"/>
      <c r="P12" s="43"/>
      <c r="Q12" s="47"/>
      <c r="R12" s="85"/>
    </row>
    <row r="13" spans="1:19" ht="18.95" customHeight="1">
      <c r="A13" s="244"/>
      <c r="B13" s="65"/>
      <c r="C13" s="42"/>
      <c r="D13" s="43"/>
      <c r="E13" s="44"/>
      <c r="F13" s="45"/>
      <c r="G13" s="69"/>
      <c r="H13" s="73"/>
      <c r="I13" s="43"/>
      <c r="J13" s="45"/>
      <c r="K13" s="45"/>
      <c r="L13" s="45"/>
      <c r="M13" s="77"/>
      <c r="N13" s="65" t="s">
        <v>240</v>
      </c>
      <c r="O13" s="46"/>
      <c r="P13" s="43"/>
      <c r="Q13" s="47"/>
      <c r="R13" s="85"/>
    </row>
    <row r="14" spans="1:19" ht="18.95" customHeight="1">
      <c r="A14" s="244"/>
      <c r="B14" s="66"/>
      <c r="C14" s="49"/>
      <c r="D14" s="50"/>
      <c r="E14" s="51"/>
      <c r="F14" s="52"/>
      <c r="G14" s="70"/>
      <c r="H14" s="74"/>
      <c r="I14" s="50"/>
      <c r="J14" s="52"/>
      <c r="K14" s="52"/>
      <c r="L14" s="52"/>
      <c r="M14" s="78"/>
      <c r="N14" s="66" t="s">
        <v>13</v>
      </c>
      <c r="O14" s="53"/>
      <c r="P14" s="50"/>
      <c r="Q14" s="54"/>
      <c r="R14" s="86"/>
    </row>
    <row r="15" spans="1:19" ht="18.95" customHeight="1">
      <c r="A15" s="244"/>
      <c r="B15" s="65" t="s">
        <v>242</v>
      </c>
      <c r="C15" s="42" t="s">
        <v>88</v>
      </c>
      <c r="D15" s="43"/>
      <c r="E15" s="44">
        <v>1</v>
      </c>
      <c r="F15" s="45" t="s">
        <v>87</v>
      </c>
      <c r="G15" s="69" t="s">
        <v>18</v>
      </c>
      <c r="H15" s="73" t="s">
        <v>88</v>
      </c>
      <c r="I15" s="43"/>
      <c r="J15" s="45">
        <f>ROUNDUP(E15*0.75,2)</f>
        <v>0.75</v>
      </c>
      <c r="K15" s="45" t="s">
        <v>87</v>
      </c>
      <c r="L15" s="45" t="s">
        <v>18</v>
      </c>
      <c r="M15" s="77" t="e">
        <f>#REF!</f>
        <v>#REF!</v>
      </c>
      <c r="N15" s="65" t="s">
        <v>243</v>
      </c>
      <c r="O15" s="46" t="s">
        <v>25</v>
      </c>
      <c r="P15" s="43"/>
      <c r="Q15" s="47">
        <v>0.5</v>
      </c>
      <c r="R15" s="85">
        <f>ROUNDUP(Q15*0.75,2)</f>
        <v>0.38</v>
      </c>
    </row>
    <row r="16" spans="1:19" ht="18.95" customHeight="1">
      <c r="A16" s="244"/>
      <c r="B16" s="65"/>
      <c r="C16" s="42" t="s">
        <v>56</v>
      </c>
      <c r="D16" s="43"/>
      <c r="E16" s="44">
        <v>20</v>
      </c>
      <c r="F16" s="45" t="s">
        <v>16</v>
      </c>
      <c r="G16" s="69"/>
      <c r="H16" s="73" t="s">
        <v>56</v>
      </c>
      <c r="I16" s="43"/>
      <c r="J16" s="45">
        <f>ROUNDUP(E16*0.75,2)</f>
        <v>15</v>
      </c>
      <c r="K16" s="45" t="s">
        <v>16</v>
      </c>
      <c r="L16" s="45"/>
      <c r="M16" s="77" t="e">
        <f>ROUND(#REF!+(#REF!*6/100),2)</f>
        <v>#REF!</v>
      </c>
      <c r="N16" s="65" t="s">
        <v>244</v>
      </c>
      <c r="O16" s="46" t="s">
        <v>27</v>
      </c>
      <c r="P16" s="43" t="s">
        <v>15</v>
      </c>
      <c r="Q16" s="47">
        <v>1.5</v>
      </c>
      <c r="R16" s="85">
        <f>ROUNDUP(Q16*0.75,2)</f>
        <v>1.1300000000000001</v>
      </c>
    </row>
    <row r="17" spans="1:18" ht="18.95" customHeight="1">
      <c r="A17" s="244"/>
      <c r="B17" s="65"/>
      <c r="C17" s="42" t="s">
        <v>174</v>
      </c>
      <c r="D17" s="43"/>
      <c r="E17" s="44">
        <v>0.5</v>
      </c>
      <c r="F17" s="45" t="s">
        <v>16</v>
      </c>
      <c r="G17" s="69"/>
      <c r="H17" s="73" t="s">
        <v>174</v>
      </c>
      <c r="I17" s="43"/>
      <c r="J17" s="45">
        <f>ROUNDUP(E17*0.75,2)</f>
        <v>0.38</v>
      </c>
      <c r="K17" s="45" t="s">
        <v>16</v>
      </c>
      <c r="L17" s="45"/>
      <c r="M17" s="77" t="e">
        <f>ROUND(#REF!+(#REF!*8/100),2)</f>
        <v>#REF!</v>
      </c>
      <c r="N17" s="65" t="s">
        <v>245</v>
      </c>
      <c r="O17" s="46" t="s">
        <v>32</v>
      </c>
      <c r="P17" s="43"/>
      <c r="Q17" s="47">
        <v>1</v>
      </c>
      <c r="R17" s="85">
        <f>ROUNDUP(Q17*0.75,2)</f>
        <v>0.75</v>
      </c>
    </row>
    <row r="18" spans="1:18" ht="18.95" customHeight="1">
      <c r="A18" s="244"/>
      <c r="B18" s="65"/>
      <c r="C18" s="42" t="s">
        <v>20</v>
      </c>
      <c r="D18" s="43"/>
      <c r="E18" s="44">
        <v>10</v>
      </c>
      <c r="F18" s="45" t="s">
        <v>16</v>
      </c>
      <c r="G18" s="69"/>
      <c r="H18" s="73" t="s">
        <v>20</v>
      </c>
      <c r="I18" s="43"/>
      <c r="J18" s="45">
        <f>ROUNDUP(E18*0.75,2)</f>
        <v>7.5</v>
      </c>
      <c r="K18" s="45" t="s">
        <v>16</v>
      </c>
      <c r="L18" s="45"/>
      <c r="M18" s="77" t="e">
        <f>ROUND(#REF!+(#REF!*3/100),2)</f>
        <v>#REF!</v>
      </c>
      <c r="N18" s="65" t="s">
        <v>246</v>
      </c>
      <c r="O18" s="46" t="s">
        <v>49</v>
      </c>
      <c r="P18" s="43"/>
      <c r="Q18" s="47">
        <v>10</v>
      </c>
      <c r="R18" s="85">
        <f>ROUNDUP(Q18*0.75,2)</f>
        <v>7.5</v>
      </c>
    </row>
    <row r="19" spans="1:18" ht="18.95" customHeight="1">
      <c r="A19" s="244"/>
      <c r="B19" s="65"/>
      <c r="C19" s="42"/>
      <c r="D19" s="43"/>
      <c r="E19" s="44"/>
      <c r="F19" s="45"/>
      <c r="G19" s="69"/>
      <c r="H19" s="73"/>
      <c r="I19" s="43"/>
      <c r="J19" s="45"/>
      <c r="K19" s="45"/>
      <c r="L19" s="45"/>
      <c r="M19" s="77"/>
      <c r="N19" s="65" t="s">
        <v>247</v>
      </c>
      <c r="O19" s="46" t="s">
        <v>33</v>
      </c>
      <c r="P19" s="43"/>
      <c r="Q19" s="47">
        <v>1</v>
      </c>
      <c r="R19" s="85">
        <f>ROUNDUP(Q19*0.75,2)</f>
        <v>0.75</v>
      </c>
    </row>
    <row r="20" spans="1:18" ht="18.95" customHeight="1">
      <c r="A20" s="244"/>
      <c r="B20" s="65"/>
      <c r="C20" s="42"/>
      <c r="D20" s="43"/>
      <c r="E20" s="44"/>
      <c r="F20" s="45"/>
      <c r="G20" s="69"/>
      <c r="H20" s="73"/>
      <c r="I20" s="43"/>
      <c r="J20" s="45"/>
      <c r="K20" s="45"/>
      <c r="L20" s="45"/>
      <c r="M20" s="77"/>
      <c r="N20" s="83" t="s">
        <v>248</v>
      </c>
      <c r="O20" s="46"/>
      <c r="P20" s="43"/>
      <c r="Q20" s="47"/>
      <c r="R20" s="85"/>
    </row>
    <row r="21" spans="1:18" ht="18.95" customHeight="1">
      <c r="A21" s="244"/>
      <c r="B21" s="65"/>
      <c r="C21" s="42"/>
      <c r="D21" s="43"/>
      <c r="E21" s="44"/>
      <c r="F21" s="45"/>
      <c r="G21" s="69"/>
      <c r="H21" s="73"/>
      <c r="I21" s="43"/>
      <c r="J21" s="45"/>
      <c r="K21" s="45"/>
      <c r="L21" s="45"/>
      <c r="M21" s="77"/>
      <c r="N21" s="65" t="s">
        <v>29</v>
      </c>
      <c r="O21" s="46"/>
      <c r="P21" s="43"/>
      <c r="Q21" s="47"/>
      <c r="R21" s="85"/>
    </row>
    <row r="22" spans="1:18" ht="18.95" customHeight="1">
      <c r="A22" s="244"/>
      <c r="B22" s="65"/>
      <c r="C22" s="42"/>
      <c r="D22" s="43"/>
      <c r="E22" s="44"/>
      <c r="F22" s="45"/>
      <c r="G22" s="69"/>
      <c r="H22" s="73"/>
      <c r="I22" s="43"/>
      <c r="J22" s="45"/>
      <c r="K22" s="45"/>
      <c r="L22" s="45"/>
      <c r="M22" s="77"/>
      <c r="N22" s="65"/>
      <c r="O22" s="46"/>
      <c r="P22" s="43"/>
      <c r="Q22" s="47"/>
      <c r="R22" s="85"/>
    </row>
    <row r="23" spans="1:18" ht="18.95" customHeight="1">
      <c r="A23" s="244"/>
      <c r="B23" s="66"/>
      <c r="C23" s="49"/>
      <c r="D23" s="50"/>
      <c r="E23" s="51"/>
      <c r="F23" s="52"/>
      <c r="G23" s="70"/>
      <c r="H23" s="74"/>
      <c r="I23" s="50"/>
      <c r="J23" s="52"/>
      <c r="K23" s="52"/>
      <c r="L23" s="52"/>
      <c r="M23" s="78"/>
      <c r="N23" s="66"/>
      <c r="O23" s="53"/>
      <c r="P23" s="50"/>
      <c r="Q23" s="54"/>
      <c r="R23" s="86"/>
    </row>
    <row r="24" spans="1:18" ht="18.95" customHeight="1">
      <c r="A24" s="244"/>
      <c r="B24" s="65" t="s">
        <v>249</v>
      </c>
      <c r="C24" s="42" t="s">
        <v>168</v>
      </c>
      <c r="D24" s="43"/>
      <c r="E24" s="44">
        <v>10</v>
      </c>
      <c r="F24" s="45" t="s">
        <v>16</v>
      </c>
      <c r="G24" s="69"/>
      <c r="H24" s="73" t="s">
        <v>168</v>
      </c>
      <c r="I24" s="43"/>
      <c r="J24" s="45">
        <f>ROUNDUP(E24*0.75,2)</f>
        <v>7.5</v>
      </c>
      <c r="K24" s="45" t="s">
        <v>16</v>
      </c>
      <c r="L24" s="45"/>
      <c r="M24" s="77" t="e">
        <f>ROUND(#REF!+(#REF!*50/100),2)</f>
        <v>#REF!</v>
      </c>
      <c r="N24" s="65" t="s">
        <v>250</v>
      </c>
      <c r="O24" s="46" t="s">
        <v>33</v>
      </c>
      <c r="P24" s="43"/>
      <c r="Q24" s="47">
        <v>0.3</v>
      </c>
      <c r="R24" s="85">
        <f>ROUNDUP(Q24*0.75,2)</f>
        <v>0.23</v>
      </c>
    </row>
    <row r="25" spans="1:18" ht="18.95" customHeight="1">
      <c r="A25" s="244"/>
      <c r="B25" s="65"/>
      <c r="C25" s="42" t="s">
        <v>202</v>
      </c>
      <c r="D25" s="43" t="s">
        <v>15</v>
      </c>
      <c r="E25" s="44">
        <v>10</v>
      </c>
      <c r="F25" s="45" t="s">
        <v>16</v>
      </c>
      <c r="G25" s="69"/>
      <c r="H25" s="73" t="s">
        <v>202</v>
      </c>
      <c r="I25" s="43" t="s">
        <v>15</v>
      </c>
      <c r="J25" s="45">
        <f>ROUNDUP(E25*0.75,2)</f>
        <v>7.5</v>
      </c>
      <c r="K25" s="45" t="s">
        <v>16</v>
      </c>
      <c r="L25" s="45"/>
      <c r="M25" s="77" t="e">
        <f>#REF!</f>
        <v>#REF!</v>
      </c>
      <c r="N25" s="65" t="s">
        <v>251</v>
      </c>
      <c r="O25" s="46" t="s">
        <v>26</v>
      </c>
      <c r="P25" s="43"/>
      <c r="Q25" s="47">
        <v>0.1</v>
      </c>
      <c r="R25" s="85">
        <f>ROUNDUP(Q25*0.75,2)</f>
        <v>0.08</v>
      </c>
    </row>
    <row r="26" spans="1:18" ht="18.95" customHeight="1">
      <c r="A26" s="244"/>
      <c r="B26" s="65"/>
      <c r="C26" s="42"/>
      <c r="D26" s="43"/>
      <c r="E26" s="44"/>
      <c r="F26" s="45"/>
      <c r="G26" s="69"/>
      <c r="H26" s="73"/>
      <c r="I26" s="43"/>
      <c r="J26" s="45"/>
      <c r="K26" s="45"/>
      <c r="L26" s="45"/>
      <c r="M26" s="77"/>
      <c r="N26" s="65" t="s">
        <v>13</v>
      </c>
      <c r="O26" s="46" t="s">
        <v>50</v>
      </c>
      <c r="P26" s="43" t="s">
        <v>51</v>
      </c>
      <c r="Q26" s="47">
        <v>4</v>
      </c>
      <c r="R26" s="85">
        <f>ROUNDUP(Q26*0.75,2)</f>
        <v>3</v>
      </c>
    </row>
    <row r="27" spans="1:18" ht="18.95" customHeight="1">
      <c r="A27" s="244"/>
      <c r="B27" s="66"/>
      <c r="C27" s="49"/>
      <c r="D27" s="50"/>
      <c r="E27" s="51"/>
      <c r="F27" s="52"/>
      <c r="G27" s="70"/>
      <c r="H27" s="74"/>
      <c r="I27" s="50"/>
      <c r="J27" s="52"/>
      <c r="K27" s="52"/>
      <c r="L27" s="52"/>
      <c r="M27" s="78"/>
      <c r="N27" s="66"/>
      <c r="O27" s="53"/>
      <c r="P27" s="50"/>
      <c r="Q27" s="54"/>
      <c r="R27" s="86"/>
    </row>
    <row r="28" spans="1:18" ht="18.95" customHeight="1">
      <c r="A28" s="244"/>
      <c r="B28" s="65" t="s">
        <v>137</v>
      </c>
      <c r="C28" s="42" t="s">
        <v>138</v>
      </c>
      <c r="D28" s="43"/>
      <c r="E28" s="81">
        <v>0.25</v>
      </c>
      <c r="F28" s="45" t="s">
        <v>23</v>
      </c>
      <c r="G28" s="69"/>
      <c r="H28" s="73" t="s">
        <v>138</v>
      </c>
      <c r="I28" s="43"/>
      <c r="J28" s="45">
        <f>ROUNDUP(E28*0.75,2)</f>
        <v>0.19</v>
      </c>
      <c r="K28" s="45" t="s">
        <v>23</v>
      </c>
      <c r="L28" s="45"/>
      <c r="M28" s="77" t="e">
        <f>#REF!</f>
        <v>#REF!</v>
      </c>
      <c r="N28" s="65" t="s">
        <v>35</v>
      </c>
      <c r="O28" s="46"/>
      <c r="P28" s="43"/>
      <c r="Q28" s="47"/>
      <c r="R28" s="85"/>
    </row>
    <row r="29" spans="1:18" ht="18.95" customHeight="1" thickBot="1">
      <c r="A29" s="245"/>
      <c r="B29" s="67"/>
      <c r="C29" s="56"/>
      <c r="D29" s="57"/>
      <c r="E29" s="58"/>
      <c r="F29" s="59"/>
      <c r="G29" s="71"/>
      <c r="H29" s="75"/>
      <c r="I29" s="57"/>
      <c r="J29" s="59"/>
      <c r="K29" s="59"/>
      <c r="L29" s="59"/>
      <c r="M29" s="79"/>
      <c r="N29" s="67"/>
      <c r="O29" s="60"/>
      <c r="P29" s="57"/>
      <c r="Q29" s="61"/>
      <c r="R29" s="87"/>
    </row>
    <row r="33" spans="16:18" ht="18.75" customHeight="1">
      <c r="P33" s="248" t="s">
        <v>276</v>
      </c>
      <c r="Q33" s="248"/>
      <c r="R33" s="248"/>
    </row>
    <row r="35" spans="16:18" ht="18.75" customHeight="1">
      <c r="P35" s="26" t="s">
        <v>277</v>
      </c>
    </row>
  </sheetData>
  <mergeCells count="6">
    <mergeCell ref="P33:R33"/>
    <mergeCell ref="H1:N1"/>
    <mergeCell ref="A2:R2"/>
    <mergeCell ref="A5:F5"/>
    <mergeCell ref="A7:A29"/>
    <mergeCell ref="B3:C4"/>
  </mergeCells>
  <phoneticPr fontId="17"/>
  <printOptions horizontalCentered="1" verticalCentered="1"/>
  <pageMargins left="0.39370078740157483" right="0.39370078740157483" top="0.39370078740157483" bottom="0.39370078740157483" header="0.39370078740157483" footer="0.39370078740157483"/>
  <pageSetup paperSize="12" scale="4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5"/>
  <sheetViews>
    <sheetView showZeros="0" zoomScale="60" zoomScaleNormal="60" zoomScaleSheetLayoutView="80" workbookViewId="0"/>
  </sheetViews>
  <sheetFormatPr defaultRowHeight="18.75" customHeight="1"/>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c r="A1" s="1" t="s">
        <v>12</v>
      </c>
      <c r="B1" s="1"/>
      <c r="C1" s="2"/>
      <c r="D1" s="3"/>
      <c r="E1" s="2"/>
      <c r="F1" s="2"/>
      <c r="G1" s="2"/>
      <c r="H1" s="239"/>
      <c r="I1" s="239"/>
      <c r="J1" s="240"/>
      <c r="K1" s="240"/>
      <c r="L1" s="240"/>
      <c r="M1" s="240"/>
      <c r="N1" s="240"/>
      <c r="O1" s="2"/>
      <c r="P1" s="2"/>
      <c r="Q1" s="4"/>
      <c r="R1" s="4"/>
      <c r="S1" s="3"/>
    </row>
    <row r="2" spans="1:19" ht="36.75" customHeight="1">
      <c r="A2" s="239" t="s">
        <v>0</v>
      </c>
      <c r="B2" s="239"/>
      <c r="C2" s="240"/>
      <c r="D2" s="240"/>
      <c r="E2" s="240"/>
      <c r="F2" s="240"/>
      <c r="G2" s="240"/>
      <c r="H2" s="240"/>
      <c r="I2" s="240"/>
      <c r="J2" s="240"/>
      <c r="K2" s="240"/>
      <c r="L2" s="240"/>
      <c r="M2" s="240"/>
      <c r="N2" s="240"/>
      <c r="O2" s="240"/>
      <c r="P2" s="240"/>
      <c r="Q2" s="240"/>
      <c r="R2" s="240"/>
      <c r="S2" s="3"/>
    </row>
    <row r="3" spans="1:19" ht="27.75" customHeight="1" thickBot="1">
      <c r="A3" s="241" t="s">
        <v>69</v>
      </c>
      <c r="B3" s="242"/>
      <c r="C3" s="242"/>
      <c r="D3" s="242"/>
      <c r="E3" s="242"/>
      <c r="F3" s="242"/>
      <c r="G3" s="2"/>
      <c r="H3" s="2"/>
      <c r="I3" s="12"/>
      <c r="J3" s="2"/>
      <c r="K3" s="7"/>
      <c r="L3" s="7"/>
      <c r="M3" s="10"/>
      <c r="N3" s="2"/>
      <c r="O3" s="13"/>
      <c r="P3" s="12"/>
      <c r="Q3" s="14"/>
      <c r="R3" s="14"/>
      <c r="S3" s="11"/>
    </row>
    <row r="4" spans="1:19" customFormat="1" ht="42" customHeight="1" thickBot="1">
      <c r="A4" s="15"/>
      <c r="B4" s="16" t="s">
        <v>1</v>
      </c>
      <c r="C4" s="17" t="s">
        <v>2</v>
      </c>
      <c r="D4" s="18" t="s">
        <v>281</v>
      </c>
      <c r="E4" s="34" t="s">
        <v>6</v>
      </c>
      <c r="F4" s="19" t="s">
        <v>4</v>
      </c>
      <c r="G4" s="17" t="s">
        <v>5</v>
      </c>
      <c r="H4" s="16" t="s">
        <v>2</v>
      </c>
      <c r="I4" s="18" t="s">
        <v>281</v>
      </c>
      <c r="J4" s="35" t="s">
        <v>3</v>
      </c>
      <c r="K4" s="19" t="s">
        <v>4</v>
      </c>
      <c r="L4" s="19" t="s">
        <v>5</v>
      </c>
      <c r="M4" s="21" t="s">
        <v>7</v>
      </c>
      <c r="N4" s="22" t="s">
        <v>8</v>
      </c>
      <c r="O4" s="19" t="s">
        <v>9</v>
      </c>
      <c r="P4" s="23" t="s">
        <v>281</v>
      </c>
      <c r="Q4" s="20" t="s">
        <v>11</v>
      </c>
      <c r="R4" s="24" t="s">
        <v>10</v>
      </c>
      <c r="S4" s="25"/>
    </row>
    <row r="5" spans="1:19" ht="21.95" customHeight="1">
      <c r="A5" s="243" t="s">
        <v>37</v>
      </c>
      <c r="B5" s="64" t="s">
        <v>70</v>
      </c>
      <c r="C5" s="36" t="s">
        <v>59</v>
      </c>
      <c r="D5" s="37"/>
      <c r="E5" s="38">
        <v>30</v>
      </c>
      <c r="F5" s="39" t="s">
        <v>16</v>
      </c>
      <c r="G5" s="68" t="s">
        <v>18</v>
      </c>
      <c r="H5" s="72" t="s">
        <v>59</v>
      </c>
      <c r="I5" s="37"/>
      <c r="J5" s="39">
        <f t="shared" ref="J5:J10" si="0">ROUNDUP(E5*0.75,2)</f>
        <v>22.5</v>
      </c>
      <c r="K5" s="39" t="s">
        <v>16</v>
      </c>
      <c r="L5" s="39" t="s">
        <v>18</v>
      </c>
      <c r="M5" s="76" t="e">
        <f>#REF!</f>
        <v>#REF!</v>
      </c>
      <c r="N5" s="64" t="s">
        <v>71</v>
      </c>
      <c r="O5" s="40" t="s">
        <v>53</v>
      </c>
      <c r="P5" s="37"/>
      <c r="Q5" s="41">
        <v>110</v>
      </c>
      <c r="R5" s="84">
        <f t="shared" ref="R5:R10" si="1">ROUNDUP(Q5*0.75,2)</f>
        <v>82.5</v>
      </c>
    </row>
    <row r="6" spans="1:19" ht="21.95" customHeight="1">
      <c r="A6" s="244"/>
      <c r="B6" s="65"/>
      <c r="C6" s="42" t="s">
        <v>56</v>
      </c>
      <c r="D6" s="43"/>
      <c r="E6" s="44">
        <v>30</v>
      </c>
      <c r="F6" s="45" t="s">
        <v>16</v>
      </c>
      <c r="G6" s="69"/>
      <c r="H6" s="73" t="s">
        <v>56</v>
      </c>
      <c r="I6" s="43"/>
      <c r="J6" s="45">
        <f t="shared" si="0"/>
        <v>22.5</v>
      </c>
      <c r="K6" s="45" t="s">
        <v>16</v>
      </c>
      <c r="L6" s="45"/>
      <c r="M6" s="77" t="e">
        <f>ROUND(#REF!+(#REF!*6/100),2)</f>
        <v>#REF!</v>
      </c>
      <c r="N6" s="65" t="s">
        <v>72</v>
      </c>
      <c r="O6" s="46" t="s">
        <v>60</v>
      </c>
      <c r="P6" s="43"/>
      <c r="Q6" s="47">
        <v>0.5</v>
      </c>
      <c r="R6" s="85">
        <f t="shared" si="1"/>
        <v>0.38</v>
      </c>
    </row>
    <row r="7" spans="1:19" ht="21.95" customHeight="1">
      <c r="A7" s="244"/>
      <c r="B7" s="65"/>
      <c r="C7" s="42" t="s">
        <v>74</v>
      </c>
      <c r="D7" s="43"/>
      <c r="E7" s="44">
        <v>40</v>
      </c>
      <c r="F7" s="45" t="s">
        <v>16</v>
      </c>
      <c r="G7" s="69"/>
      <c r="H7" s="73" t="s">
        <v>74</v>
      </c>
      <c r="I7" s="43"/>
      <c r="J7" s="45">
        <f t="shared" si="0"/>
        <v>30</v>
      </c>
      <c r="K7" s="45" t="s">
        <v>16</v>
      </c>
      <c r="L7" s="45"/>
      <c r="M7" s="77" t="e">
        <f>ROUND(#REF!+(#REF!*10/100),2)</f>
        <v>#REF!</v>
      </c>
      <c r="N7" s="65" t="s">
        <v>73</v>
      </c>
      <c r="O7" s="46" t="s">
        <v>32</v>
      </c>
      <c r="P7" s="43"/>
      <c r="Q7" s="47">
        <v>1</v>
      </c>
      <c r="R7" s="85">
        <f t="shared" si="1"/>
        <v>0.75</v>
      </c>
    </row>
    <row r="8" spans="1:19" ht="21.95" customHeight="1">
      <c r="A8" s="244"/>
      <c r="B8" s="65"/>
      <c r="C8" s="42" t="s">
        <v>20</v>
      </c>
      <c r="D8" s="43"/>
      <c r="E8" s="44">
        <v>10</v>
      </c>
      <c r="F8" s="45" t="s">
        <v>16</v>
      </c>
      <c r="G8" s="69"/>
      <c r="H8" s="73" t="s">
        <v>20</v>
      </c>
      <c r="I8" s="43"/>
      <c r="J8" s="45">
        <f t="shared" si="0"/>
        <v>7.5</v>
      </c>
      <c r="K8" s="45" t="s">
        <v>16</v>
      </c>
      <c r="L8" s="45"/>
      <c r="M8" s="77" t="e">
        <f>ROUND(#REF!+(#REF!*3/100),2)</f>
        <v>#REF!</v>
      </c>
      <c r="N8" s="65" t="s">
        <v>41</v>
      </c>
      <c r="O8" s="46" t="s">
        <v>49</v>
      </c>
      <c r="P8" s="43"/>
      <c r="Q8" s="47">
        <v>40</v>
      </c>
      <c r="R8" s="85">
        <f t="shared" si="1"/>
        <v>30</v>
      </c>
    </row>
    <row r="9" spans="1:19" ht="21.95" customHeight="1">
      <c r="A9" s="244"/>
      <c r="B9" s="65"/>
      <c r="C9" s="42" t="s">
        <v>75</v>
      </c>
      <c r="D9" s="43" t="s">
        <v>15</v>
      </c>
      <c r="E9" s="44">
        <v>9</v>
      </c>
      <c r="F9" s="45" t="s">
        <v>16</v>
      </c>
      <c r="G9" s="69"/>
      <c r="H9" s="73" t="s">
        <v>75</v>
      </c>
      <c r="I9" s="43" t="s">
        <v>15</v>
      </c>
      <c r="J9" s="45">
        <f t="shared" si="0"/>
        <v>6.75</v>
      </c>
      <c r="K9" s="45" t="s">
        <v>16</v>
      </c>
      <c r="L9" s="45"/>
      <c r="M9" s="77" t="e">
        <f>#REF!</f>
        <v>#REF!</v>
      </c>
      <c r="N9" s="65" t="s">
        <v>253</v>
      </c>
      <c r="O9" s="46" t="s">
        <v>33</v>
      </c>
      <c r="P9" s="43"/>
      <c r="Q9" s="47">
        <v>0.5</v>
      </c>
      <c r="R9" s="85">
        <f t="shared" si="1"/>
        <v>0.38</v>
      </c>
    </row>
    <row r="10" spans="1:19" ht="21.95" customHeight="1">
      <c r="A10" s="244"/>
      <c r="B10" s="65"/>
      <c r="C10" s="42" t="s">
        <v>38</v>
      </c>
      <c r="D10" s="43" t="s">
        <v>39</v>
      </c>
      <c r="E10" s="44">
        <v>30</v>
      </c>
      <c r="F10" s="45" t="s">
        <v>40</v>
      </c>
      <c r="G10" s="69" t="s">
        <v>14</v>
      </c>
      <c r="H10" s="73" t="s">
        <v>38</v>
      </c>
      <c r="I10" s="43" t="s">
        <v>39</v>
      </c>
      <c r="J10" s="45">
        <f t="shared" si="0"/>
        <v>22.5</v>
      </c>
      <c r="K10" s="45" t="s">
        <v>40</v>
      </c>
      <c r="L10" s="45" t="s">
        <v>14</v>
      </c>
      <c r="M10" s="77" t="e">
        <f>#REF!</f>
        <v>#REF!</v>
      </c>
      <c r="N10" s="65" t="s">
        <v>254</v>
      </c>
      <c r="O10" s="46" t="s">
        <v>76</v>
      </c>
      <c r="P10" s="43"/>
      <c r="Q10" s="47">
        <v>2</v>
      </c>
      <c r="R10" s="85">
        <f t="shared" si="1"/>
        <v>1.5</v>
      </c>
    </row>
    <row r="11" spans="1:19" ht="21.95" customHeight="1">
      <c r="A11" s="244"/>
      <c r="B11" s="66"/>
      <c r="C11" s="49"/>
      <c r="D11" s="50"/>
      <c r="E11" s="51"/>
      <c r="F11" s="52"/>
      <c r="G11" s="70"/>
      <c r="H11" s="74"/>
      <c r="I11" s="50"/>
      <c r="J11" s="52"/>
      <c r="K11" s="52"/>
      <c r="L11" s="52"/>
      <c r="M11" s="78"/>
      <c r="N11" s="66" t="s">
        <v>13</v>
      </c>
      <c r="O11" s="53"/>
      <c r="P11" s="50"/>
      <c r="Q11" s="54"/>
      <c r="R11" s="86"/>
    </row>
    <row r="12" spans="1:19" ht="21.95" customHeight="1">
      <c r="A12" s="244"/>
      <c r="B12" s="65" t="s">
        <v>77</v>
      </c>
      <c r="C12" s="42" t="s">
        <v>45</v>
      </c>
      <c r="D12" s="43"/>
      <c r="E12" s="44">
        <v>30</v>
      </c>
      <c r="F12" s="45" t="s">
        <v>16</v>
      </c>
      <c r="G12" s="69"/>
      <c r="H12" s="73" t="s">
        <v>45</v>
      </c>
      <c r="I12" s="43"/>
      <c r="J12" s="45">
        <f>ROUNDUP(E12*0.75,2)</f>
        <v>22.5</v>
      </c>
      <c r="K12" s="45" t="s">
        <v>16</v>
      </c>
      <c r="L12" s="45"/>
      <c r="M12" s="77" t="e">
        <f>ROUND(#REF!+(#REF!*15/100),2)</f>
        <v>#REF!</v>
      </c>
      <c r="N12" s="65" t="s">
        <v>78</v>
      </c>
      <c r="O12" s="46" t="s">
        <v>33</v>
      </c>
      <c r="P12" s="43"/>
      <c r="Q12" s="47">
        <v>0.3</v>
      </c>
      <c r="R12" s="85">
        <f>ROUNDUP(Q12*0.75,2)</f>
        <v>0.23</v>
      </c>
    </row>
    <row r="13" spans="1:19" ht="21.95" customHeight="1">
      <c r="A13" s="244"/>
      <c r="B13" s="65"/>
      <c r="C13" s="42" t="s">
        <v>80</v>
      </c>
      <c r="D13" s="43"/>
      <c r="E13" s="44">
        <v>0.5</v>
      </c>
      <c r="F13" s="45" t="s">
        <v>16</v>
      </c>
      <c r="G13" s="69" t="s">
        <v>81</v>
      </c>
      <c r="H13" s="73" t="s">
        <v>80</v>
      </c>
      <c r="I13" s="43"/>
      <c r="J13" s="45">
        <f>ROUNDUP(E13*0.75,2)</f>
        <v>0.38</v>
      </c>
      <c r="K13" s="45" t="s">
        <v>16</v>
      </c>
      <c r="L13" s="45" t="s">
        <v>81</v>
      </c>
      <c r="M13" s="77" t="e">
        <f>#REF!</f>
        <v>#REF!</v>
      </c>
      <c r="N13" s="65" t="s">
        <v>79</v>
      </c>
      <c r="O13" s="46" t="s">
        <v>50</v>
      </c>
      <c r="P13" s="43" t="s">
        <v>51</v>
      </c>
      <c r="Q13" s="47">
        <v>4</v>
      </c>
      <c r="R13" s="85">
        <f>ROUNDUP(Q13*0.75,2)</f>
        <v>3</v>
      </c>
    </row>
    <row r="14" spans="1:19" ht="21.95" customHeight="1">
      <c r="A14" s="244"/>
      <c r="B14" s="65"/>
      <c r="C14" s="42" t="s">
        <v>82</v>
      </c>
      <c r="D14" s="43"/>
      <c r="E14" s="44">
        <v>10</v>
      </c>
      <c r="F14" s="45" t="s">
        <v>16</v>
      </c>
      <c r="G14" s="69" t="s">
        <v>83</v>
      </c>
      <c r="H14" s="73" t="s">
        <v>82</v>
      </c>
      <c r="I14" s="43"/>
      <c r="J14" s="45">
        <f>ROUNDUP(E14*0.75,2)</f>
        <v>7.5</v>
      </c>
      <c r="K14" s="45" t="s">
        <v>16</v>
      </c>
      <c r="L14" s="45" t="s">
        <v>83</v>
      </c>
      <c r="M14" s="77" t="e">
        <f>#REF!</f>
        <v>#REF!</v>
      </c>
      <c r="N14" s="65" t="s">
        <v>29</v>
      </c>
      <c r="O14" s="46" t="s">
        <v>26</v>
      </c>
      <c r="P14" s="43"/>
      <c r="Q14" s="47">
        <v>0.1</v>
      </c>
      <c r="R14" s="85">
        <f>ROUNDUP(Q14*0.75,2)</f>
        <v>0.08</v>
      </c>
    </row>
    <row r="15" spans="1:19" ht="21.95" customHeight="1">
      <c r="A15" s="244"/>
      <c r="B15" s="65"/>
      <c r="C15" s="42"/>
      <c r="D15" s="43"/>
      <c r="E15" s="44"/>
      <c r="F15" s="45"/>
      <c r="G15" s="69"/>
      <c r="H15" s="73"/>
      <c r="I15" s="43"/>
      <c r="J15" s="45"/>
      <c r="K15" s="45"/>
      <c r="L15" s="45"/>
      <c r="M15" s="77"/>
      <c r="N15" s="65"/>
      <c r="O15" s="46"/>
      <c r="P15" s="43"/>
      <c r="Q15" s="47"/>
      <c r="R15" s="85"/>
    </row>
    <row r="16" spans="1:19" ht="21.95" customHeight="1">
      <c r="A16" s="244"/>
      <c r="B16" s="66"/>
      <c r="C16" s="49"/>
      <c r="D16" s="50"/>
      <c r="E16" s="51"/>
      <c r="F16" s="52"/>
      <c r="G16" s="70"/>
      <c r="H16" s="74"/>
      <c r="I16" s="50"/>
      <c r="J16" s="52"/>
      <c r="K16" s="52"/>
      <c r="L16" s="52"/>
      <c r="M16" s="78"/>
      <c r="N16" s="66"/>
      <c r="O16" s="53"/>
      <c r="P16" s="50"/>
      <c r="Q16" s="54"/>
      <c r="R16" s="86"/>
    </row>
    <row r="17" spans="1:18" ht="21.95" customHeight="1">
      <c r="A17" s="244"/>
      <c r="B17" s="65" t="s">
        <v>84</v>
      </c>
      <c r="C17" s="42" t="s">
        <v>85</v>
      </c>
      <c r="D17" s="43"/>
      <c r="E17" s="62">
        <v>0.125</v>
      </c>
      <c r="F17" s="45" t="s">
        <v>23</v>
      </c>
      <c r="G17" s="69"/>
      <c r="H17" s="73" t="s">
        <v>85</v>
      </c>
      <c r="I17" s="43"/>
      <c r="J17" s="45">
        <f>ROUNDUP(E17*0.75,2)</f>
        <v>9.9999999999999992E-2</v>
      </c>
      <c r="K17" s="45" t="s">
        <v>23</v>
      </c>
      <c r="L17" s="45"/>
      <c r="M17" s="77" t="e">
        <f>#REF!</f>
        <v>#REF!</v>
      </c>
      <c r="N17" s="65" t="s">
        <v>35</v>
      </c>
      <c r="O17" s="46"/>
      <c r="P17" s="43"/>
      <c r="Q17" s="47"/>
      <c r="R17" s="85"/>
    </row>
    <row r="18" spans="1:18" ht="21.95" customHeight="1" thickBot="1">
      <c r="A18" s="245"/>
      <c r="B18" s="67"/>
      <c r="C18" s="56"/>
      <c r="D18" s="57"/>
      <c r="E18" s="58"/>
      <c r="F18" s="59"/>
      <c r="G18" s="71"/>
      <c r="H18" s="75"/>
      <c r="I18" s="57"/>
      <c r="J18" s="59"/>
      <c r="K18" s="59"/>
      <c r="L18" s="59"/>
      <c r="M18" s="79"/>
      <c r="N18" s="67"/>
      <c r="O18" s="60"/>
      <c r="P18" s="57"/>
      <c r="Q18" s="61"/>
      <c r="R18" s="87"/>
    </row>
    <row r="19" spans="1:18" ht="21.95" customHeight="1"/>
    <row r="20" spans="1:18" ht="21.95" customHeight="1"/>
    <row r="21" spans="1:18" ht="21.95" customHeight="1"/>
    <row r="22" spans="1:18" ht="21.95" customHeight="1"/>
    <row r="23" spans="1:18" ht="21.95" customHeight="1"/>
    <row r="24" spans="1:18" ht="21.95" customHeight="1"/>
    <row r="25" spans="1:18" ht="21.95" customHeight="1"/>
  </sheetData>
  <mergeCells count="4">
    <mergeCell ref="H1:N1"/>
    <mergeCell ref="A2:R2"/>
    <mergeCell ref="A3:F3"/>
    <mergeCell ref="A5:A18"/>
  </mergeCells>
  <phoneticPr fontId="17"/>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5"/>
  <sheetViews>
    <sheetView showZeros="0" zoomScale="60" zoomScaleNormal="60" zoomScaleSheetLayoutView="80" workbookViewId="0"/>
  </sheetViews>
  <sheetFormatPr defaultRowHeight="18.75" customHeight="1"/>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c r="A1" s="1" t="s">
        <v>12</v>
      </c>
      <c r="B1" s="1"/>
      <c r="C1" s="2"/>
      <c r="D1" s="3"/>
      <c r="E1" s="2"/>
      <c r="F1" s="2"/>
      <c r="G1" s="2"/>
      <c r="H1" s="239"/>
      <c r="I1" s="239"/>
      <c r="J1" s="240"/>
      <c r="K1" s="240"/>
      <c r="L1" s="240"/>
      <c r="M1" s="240"/>
      <c r="N1" s="240"/>
      <c r="O1" s="2"/>
      <c r="P1" s="2"/>
      <c r="Q1" s="4"/>
      <c r="R1" s="4"/>
      <c r="S1" s="3"/>
    </row>
    <row r="2" spans="1:19" ht="36.75" customHeight="1">
      <c r="A2" s="239" t="s">
        <v>0</v>
      </c>
      <c r="B2" s="239"/>
      <c r="C2" s="240"/>
      <c r="D2" s="240"/>
      <c r="E2" s="240"/>
      <c r="F2" s="240"/>
      <c r="G2" s="240"/>
      <c r="H2" s="240"/>
      <c r="I2" s="240"/>
      <c r="J2" s="240"/>
      <c r="K2" s="240"/>
      <c r="L2" s="240"/>
      <c r="M2" s="240"/>
      <c r="N2" s="240"/>
      <c r="O2" s="240"/>
      <c r="P2" s="240"/>
      <c r="Q2" s="240"/>
      <c r="R2" s="240"/>
      <c r="S2" s="3"/>
    </row>
    <row r="3" spans="1:19" ht="27.75" customHeight="1" thickBot="1">
      <c r="A3" s="241" t="s">
        <v>252</v>
      </c>
      <c r="B3" s="242"/>
      <c r="C3" s="242"/>
      <c r="D3" s="242"/>
      <c r="E3" s="242"/>
      <c r="F3" s="242"/>
      <c r="G3" s="2"/>
      <c r="H3" s="2"/>
      <c r="I3" s="12"/>
      <c r="J3" s="2"/>
      <c r="K3" s="7"/>
      <c r="L3" s="7"/>
      <c r="M3" s="10"/>
      <c r="N3" s="2"/>
      <c r="O3" s="13"/>
      <c r="P3" s="12"/>
      <c r="Q3" s="14"/>
      <c r="R3" s="14"/>
      <c r="S3" s="11"/>
    </row>
    <row r="4" spans="1:19" customFormat="1" ht="42" customHeight="1" thickBot="1">
      <c r="A4" s="15"/>
      <c r="B4" s="16" t="s">
        <v>1</v>
      </c>
      <c r="C4" s="17" t="s">
        <v>2</v>
      </c>
      <c r="D4" s="18" t="s">
        <v>281</v>
      </c>
      <c r="E4" s="34" t="s">
        <v>6</v>
      </c>
      <c r="F4" s="19" t="s">
        <v>4</v>
      </c>
      <c r="G4" s="17" t="s">
        <v>5</v>
      </c>
      <c r="H4" s="16" t="s">
        <v>2</v>
      </c>
      <c r="I4" s="18" t="s">
        <v>281</v>
      </c>
      <c r="J4" s="35" t="s">
        <v>3</v>
      </c>
      <c r="K4" s="19" t="s">
        <v>4</v>
      </c>
      <c r="L4" s="19" t="s">
        <v>5</v>
      </c>
      <c r="M4" s="21" t="s">
        <v>7</v>
      </c>
      <c r="N4" s="22" t="s">
        <v>8</v>
      </c>
      <c r="O4" s="19" t="s">
        <v>9</v>
      </c>
      <c r="P4" s="23" t="s">
        <v>281</v>
      </c>
      <c r="Q4" s="20" t="s">
        <v>11</v>
      </c>
      <c r="R4" s="24" t="s">
        <v>10</v>
      </c>
      <c r="S4" s="25"/>
    </row>
    <row r="5" spans="1:19" ht="21.95" customHeight="1">
      <c r="A5" s="243" t="s">
        <v>37</v>
      </c>
      <c r="B5" s="64" t="s">
        <v>96</v>
      </c>
      <c r="C5" s="36" t="s">
        <v>160</v>
      </c>
      <c r="D5" s="37" t="s">
        <v>204</v>
      </c>
      <c r="E5" s="80">
        <v>0.5</v>
      </c>
      <c r="F5" s="39" t="s">
        <v>63</v>
      </c>
      <c r="G5" s="68" t="s">
        <v>14</v>
      </c>
      <c r="H5" s="72" t="s">
        <v>160</v>
      </c>
      <c r="I5" s="37" t="s">
        <v>204</v>
      </c>
      <c r="J5" s="39">
        <f>ROUNDUP(E5*0.75,2)</f>
        <v>0.38</v>
      </c>
      <c r="K5" s="39" t="s">
        <v>63</v>
      </c>
      <c r="L5" s="39" t="s">
        <v>14</v>
      </c>
      <c r="M5" s="76" t="e">
        <f>#REF!</f>
        <v>#REF!</v>
      </c>
      <c r="N5" s="64"/>
      <c r="O5" s="40" t="s">
        <v>53</v>
      </c>
      <c r="P5" s="37"/>
      <c r="Q5" s="41">
        <v>110</v>
      </c>
      <c r="R5" s="84">
        <f>ROUNDUP(Q5*0.75,2)</f>
        <v>82.5</v>
      </c>
    </row>
    <row r="6" spans="1:19" ht="21.95" customHeight="1">
      <c r="A6" s="244"/>
      <c r="B6" s="66"/>
      <c r="C6" s="49"/>
      <c r="D6" s="50"/>
      <c r="E6" s="51"/>
      <c r="F6" s="52"/>
      <c r="G6" s="70"/>
      <c r="H6" s="74"/>
      <c r="I6" s="50"/>
      <c r="J6" s="52"/>
      <c r="K6" s="52"/>
      <c r="L6" s="52"/>
      <c r="M6" s="78"/>
      <c r="N6" s="66"/>
      <c r="O6" s="53"/>
      <c r="P6" s="50"/>
      <c r="Q6" s="54"/>
      <c r="R6" s="86"/>
    </row>
    <row r="7" spans="1:19" ht="21.95" customHeight="1">
      <c r="A7" s="244"/>
      <c r="B7" s="65" t="s">
        <v>205</v>
      </c>
      <c r="C7" s="42" t="s">
        <v>172</v>
      </c>
      <c r="D7" s="43"/>
      <c r="E7" s="44">
        <v>1</v>
      </c>
      <c r="F7" s="45" t="s">
        <v>119</v>
      </c>
      <c r="G7" s="69" t="s">
        <v>173</v>
      </c>
      <c r="H7" s="73" t="s">
        <v>172</v>
      </c>
      <c r="I7" s="43"/>
      <c r="J7" s="45">
        <f>ROUNDUP(E7*0.75,2)</f>
        <v>0.75</v>
      </c>
      <c r="K7" s="45" t="s">
        <v>119</v>
      </c>
      <c r="L7" s="45" t="s">
        <v>173</v>
      </c>
      <c r="M7" s="77" t="e">
        <f>#REF!</f>
        <v>#REF!</v>
      </c>
      <c r="N7" s="65" t="s">
        <v>206</v>
      </c>
      <c r="O7" s="46" t="s">
        <v>60</v>
      </c>
      <c r="P7" s="43"/>
      <c r="Q7" s="47">
        <v>0.5</v>
      </c>
      <c r="R7" s="85">
        <f t="shared" ref="R7:R13" si="0">ROUNDUP(Q7*0.75,2)</f>
        <v>0.38</v>
      </c>
    </row>
    <row r="8" spans="1:19" ht="21.95" customHeight="1">
      <c r="A8" s="244"/>
      <c r="B8" s="65"/>
      <c r="C8" s="42" t="s">
        <v>132</v>
      </c>
      <c r="D8" s="43"/>
      <c r="E8" s="44">
        <v>20</v>
      </c>
      <c r="F8" s="45" t="s">
        <v>16</v>
      </c>
      <c r="G8" s="69"/>
      <c r="H8" s="73" t="s">
        <v>132</v>
      </c>
      <c r="I8" s="43"/>
      <c r="J8" s="45">
        <f>ROUNDUP(E8*0.75,2)</f>
        <v>15</v>
      </c>
      <c r="K8" s="45" t="s">
        <v>16</v>
      </c>
      <c r="L8" s="45"/>
      <c r="M8" s="77" t="e">
        <f>ROUND(#REF!+(#REF!*15/100),2)</f>
        <v>#REF!</v>
      </c>
      <c r="N8" s="65" t="s">
        <v>207</v>
      </c>
      <c r="O8" s="46" t="s">
        <v>28</v>
      </c>
      <c r="P8" s="43"/>
      <c r="Q8" s="47">
        <v>3</v>
      </c>
      <c r="R8" s="85">
        <f t="shared" si="0"/>
        <v>2.25</v>
      </c>
    </row>
    <row r="9" spans="1:19" ht="21.95" customHeight="1">
      <c r="A9" s="244"/>
      <c r="B9" s="65"/>
      <c r="C9" s="42"/>
      <c r="D9" s="43"/>
      <c r="E9" s="44"/>
      <c r="F9" s="45"/>
      <c r="G9" s="69"/>
      <c r="H9" s="73"/>
      <c r="I9" s="43"/>
      <c r="J9" s="45"/>
      <c r="K9" s="45"/>
      <c r="L9" s="45"/>
      <c r="M9" s="77"/>
      <c r="N9" s="65" t="s">
        <v>280</v>
      </c>
      <c r="O9" s="46" t="s">
        <v>32</v>
      </c>
      <c r="P9" s="43"/>
      <c r="Q9" s="47">
        <v>3</v>
      </c>
      <c r="R9" s="85">
        <f t="shared" si="0"/>
        <v>2.25</v>
      </c>
    </row>
    <row r="10" spans="1:19" ht="21.95" customHeight="1">
      <c r="A10" s="244"/>
      <c r="B10" s="65"/>
      <c r="C10" s="42"/>
      <c r="D10" s="43"/>
      <c r="E10" s="44"/>
      <c r="F10" s="45"/>
      <c r="G10" s="69"/>
      <c r="H10" s="73"/>
      <c r="I10" s="43"/>
      <c r="J10" s="45"/>
      <c r="K10" s="45"/>
      <c r="L10" s="45"/>
      <c r="M10" s="77"/>
      <c r="N10" s="65" t="s">
        <v>29</v>
      </c>
      <c r="O10" s="46" t="s">
        <v>24</v>
      </c>
      <c r="P10" s="43"/>
      <c r="Q10" s="47">
        <v>10</v>
      </c>
      <c r="R10" s="85">
        <f t="shared" si="0"/>
        <v>7.5</v>
      </c>
    </row>
    <row r="11" spans="1:19" ht="21.95" customHeight="1">
      <c r="A11" s="244"/>
      <c r="B11" s="65"/>
      <c r="C11" s="42"/>
      <c r="D11" s="43"/>
      <c r="E11" s="44"/>
      <c r="F11" s="45"/>
      <c r="G11" s="69"/>
      <c r="H11" s="73"/>
      <c r="I11" s="43"/>
      <c r="J11" s="45"/>
      <c r="K11" s="45"/>
      <c r="L11" s="45"/>
      <c r="M11" s="77"/>
      <c r="N11" s="65"/>
      <c r="O11" s="46" t="s">
        <v>33</v>
      </c>
      <c r="P11" s="43"/>
      <c r="Q11" s="47">
        <v>2</v>
      </c>
      <c r="R11" s="85">
        <f t="shared" si="0"/>
        <v>1.5</v>
      </c>
    </row>
    <row r="12" spans="1:19" ht="21.95" customHeight="1">
      <c r="A12" s="244"/>
      <c r="B12" s="65"/>
      <c r="C12" s="42"/>
      <c r="D12" s="43"/>
      <c r="E12" s="44"/>
      <c r="F12" s="45"/>
      <c r="G12" s="69"/>
      <c r="H12" s="73"/>
      <c r="I12" s="43"/>
      <c r="J12" s="45"/>
      <c r="K12" s="45"/>
      <c r="L12" s="45"/>
      <c r="M12" s="77"/>
      <c r="N12" s="65"/>
      <c r="O12" s="46" t="s">
        <v>27</v>
      </c>
      <c r="P12" s="43" t="s">
        <v>15</v>
      </c>
      <c r="Q12" s="47">
        <v>1.5</v>
      </c>
      <c r="R12" s="85">
        <f t="shared" si="0"/>
        <v>1.1300000000000001</v>
      </c>
    </row>
    <row r="13" spans="1:19" ht="21.95" customHeight="1">
      <c r="A13" s="244"/>
      <c r="B13" s="65"/>
      <c r="C13" s="42"/>
      <c r="D13" s="43"/>
      <c r="E13" s="44"/>
      <c r="F13" s="45"/>
      <c r="G13" s="69"/>
      <c r="H13" s="73"/>
      <c r="I13" s="43"/>
      <c r="J13" s="45"/>
      <c r="K13" s="45"/>
      <c r="L13" s="45"/>
      <c r="M13" s="77"/>
      <c r="N13" s="65"/>
      <c r="O13" s="46" t="s">
        <v>25</v>
      </c>
      <c r="P13" s="43"/>
      <c r="Q13" s="47">
        <v>1.5</v>
      </c>
      <c r="R13" s="85">
        <f t="shared" si="0"/>
        <v>1.1300000000000001</v>
      </c>
    </row>
    <row r="14" spans="1:19" ht="21.95" customHeight="1">
      <c r="A14" s="244"/>
      <c r="B14" s="66"/>
      <c r="C14" s="49"/>
      <c r="D14" s="50"/>
      <c r="E14" s="51"/>
      <c r="F14" s="52"/>
      <c r="G14" s="70"/>
      <c r="H14" s="74"/>
      <c r="I14" s="50"/>
      <c r="J14" s="52"/>
      <c r="K14" s="52"/>
      <c r="L14" s="52"/>
      <c r="M14" s="78"/>
      <c r="N14" s="66"/>
      <c r="O14" s="53"/>
      <c r="P14" s="50"/>
      <c r="Q14" s="54"/>
      <c r="R14" s="86"/>
    </row>
    <row r="15" spans="1:19" ht="21.95" customHeight="1">
      <c r="A15" s="244"/>
      <c r="B15" s="65" t="s">
        <v>208</v>
      </c>
      <c r="C15" s="42" t="s">
        <v>20</v>
      </c>
      <c r="D15" s="43"/>
      <c r="E15" s="44">
        <v>10</v>
      </c>
      <c r="F15" s="45" t="s">
        <v>16</v>
      </c>
      <c r="G15" s="69"/>
      <c r="H15" s="73" t="s">
        <v>20</v>
      </c>
      <c r="I15" s="43"/>
      <c r="J15" s="45">
        <f>ROUNDUP(E15*0.75,2)</f>
        <v>7.5</v>
      </c>
      <c r="K15" s="45" t="s">
        <v>16</v>
      </c>
      <c r="L15" s="45"/>
      <c r="M15" s="77" t="e">
        <f>ROUND(#REF!+(#REF!*3/100),2)</f>
        <v>#REF!</v>
      </c>
      <c r="N15" s="65" t="s">
        <v>209</v>
      </c>
      <c r="O15" s="46" t="s">
        <v>32</v>
      </c>
      <c r="P15" s="43"/>
      <c r="Q15" s="47">
        <v>1.5</v>
      </c>
      <c r="R15" s="85">
        <f>ROUNDUP(Q15*0.75,2)</f>
        <v>1.1300000000000001</v>
      </c>
    </row>
    <row r="16" spans="1:19" ht="21.95" customHeight="1">
      <c r="A16" s="244"/>
      <c r="B16" s="65"/>
      <c r="C16" s="42" t="s">
        <v>211</v>
      </c>
      <c r="D16" s="43"/>
      <c r="E16" s="44">
        <v>5</v>
      </c>
      <c r="F16" s="45" t="s">
        <v>16</v>
      </c>
      <c r="G16" s="69"/>
      <c r="H16" s="73" t="s">
        <v>211</v>
      </c>
      <c r="I16" s="43"/>
      <c r="J16" s="45">
        <f>ROUNDUP(E16*0.75,2)</f>
        <v>3.75</v>
      </c>
      <c r="K16" s="45" t="s">
        <v>16</v>
      </c>
      <c r="L16" s="45"/>
      <c r="M16" s="77" t="e">
        <f>#REF!</f>
        <v>#REF!</v>
      </c>
      <c r="N16" s="65" t="s">
        <v>210</v>
      </c>
      <c r="O16" s="46" t="s">
        <v>24</v>
      </c>
      <c r="P16" s="43"/>
      <c r="Q16" s="47">
        <v>20</v>
      </c>
      <c r="R16" s="85">
        <f>ROUNDUP(Q16*0.75,2)</f>
        <v>15</v>
      </c>
    </row>
    <row r="17" spans="1:18" ht="21.95" customHeight="1">
      <c r="A17" s="244"/>
      <c r="B17" s="65"/>
      <c r="C17" s="42" t="s">
        <v>212</v>
      </c>
      <c r="D17" s="43" t="s">
        <v>278</v>
      </c>
      <c r="E17" s="63">
        <v>0.1</v>
      </c>
      <c r="F17" s="45" t="s">
        <v>63</v>
      </c>
      <c r="G17" s="69" t="s">
        <v>213</v>
      </c>
      <c r="H17" s="73" t="s">
        <v>212</v>
      </c>
      <c r="I17" s="43" t="s">
        <v>278</v>
      </c>
      <c r="J17" s="45">
        <f>ROUNDUP(E17*0.75,2)</f>
        <v>0.08</v>
      </c>
      <c r="K17" s="45" t="s">
        <v>63</v>
      </c>
      <c r="L17" s="45" t="s">
        <v>213</v>
      </c>
      <c r="M17" s="77" t="e">
        <f>#REF!</f>
        <v>#REF!</v>
      </c>
      <c r="N17" s="65" t="s">
        <v>29</v>
      </c>
      <c r="O17" s="46" t="s">
        <v>33</v>
      </c>
      <c r="P17" s="43"/>
      <c r="Q17" s="47">
        <v>1</v>
      </c>
      <c r="R17" s="85">
        <f>ROUNDUP(Q17*0.75,2)</f>
        <v>0.75</v>
      </c>
    </row>
    <row r="18" spans="1:18" ht="21.95" customHeight="1">
      <c r="A18" s="244"/>
      <c r="B18" s="65"/>
      <c r="C18" s="42" t="s">
        <v>93</v>
      </c>
      <c r="D18" s="43"/>
      <c r="E18" s="44">
        <v>5</v>
      </c>
      <c r="F18" s="45" t="s">
        <v>16</v>
      </c>
      <c r="G18" s="69" t="s">
        <v>14</v>
      </c>
      <c r="H18" s="73" t="s">
        <v>93</v>
      </c>
      <c r="I18" s="43"/>
      <c r="J18" s="45">
        <f>ROUNDUP(E18*0.75,2)</f>
        <v>3.75</v>
      </c>
      <c r="K18" s="45" t="s">
        <v>16</v>
      </c>
      <c r="L18" s="45" t="s">
        <v>14</v>
      </c>
      <c r="M18" s="77" t="e">
        <f>#REF!</f>
        <v>#REF!</v>
      </c>
      <c r="N18" s="65"/>
      <c r="O18" s="46" t="s">
        <v>25</v>
      </c>
      <c r="P18" s="43"/>
      <c r="Q18" s="47">
        <v>1</v>
      </c>
      <c r="R18" s="85">
        <f>ROUNDUP(Q18*0.75,2)</f>
        <v>0.75</v>
      </c>
    </row>
    <row r="19" spans="1:18" ht="21.95" customHeight="1">
      <c r="A19" s="244"/>
      <c r="B19" s="65"/>
      <c r="C19" s="42"/>
      <c r="D19" s="43"/>
      <c r="E19" s="44"/>
      <c r="F19" s="45"/>
      <c r="G19" s="69"/>
      <c r="H19" s="73"/>
      <c r="I19" s="43"/>
      <c r="J19" s="45"/>
      <c r="K19" s="45"/>
      <c r="L19" s="45"/>
      <c r="M19" s="77"/>
      <c r="N19" s="65"/>
      <c r="O19" s="46" t="s">
        <v>27</v>
      </c>
      <c r="P19" s="43" t="s">
        <v>15</v>
      </c>
      <c r="Q19" s="47">
        <v>1</v>
      </c>
      <c r="R19" s="85">
        <f>ROUNDUP(Q19*0.75,2)</f>
        <v>0.75</v>
      </c>
    </row>
    <row r="20" spans="1:18" ht="21.95" customHeight="1">
      <c r="A20" s="244"/>
      <c r="B20" s="66"/>
      <c r="C20" s="49"/>
      <c r="D20" s="50"/>
      <c r="E20" s="51"/>
      <c r="F20" s="52"/>
      <c r="G20" s="70"/>
      <c r="H20" s="74"/>
      <c r="I20" s="50"/>
      <c r="J20" s="52"/>
      <c r="K20" s="52"/>
      <c r="L20" s="52"/>
      <c r="M20" s="78"/>
      <c r="N20" s="66"/>
      <c r="O20" s="53"/>
      <c r="P20" s="50"/>
      <c r="Q20" s="54"/>
      <c r="R20" s="86"/>
    </row>
    <row r="21" spans="1:18" ht="21.95" customHeight="1">
      <c r="A21" s="244"/>
      <c r="B21" s="65" t="s">
        <v>92</v>
      </c>
      <c r="C21" s="42" t="s">
        <v>65</v>
      </c>
      <c r="D21" s="43" t="s">
        <v>15</v>
      </c>
      <c r="E21" s="63">
        <v>0.1</v>
      </c>
      <c r="F21" s="45" t="s">
        <v>63</v>
      </c>
      <c r="G21" s="69"/>
      <c r="H21" s="73" t="s">
        <v>65</v>
      </c>
      <c r="I21" s="43" t="s">
        <v>15</v>
      </c>
      <c r="J21" s="45">
        <f>ROUNDUP(E21*0.75,2)</f>
        <v>0.08</v>
      </c>
      <c r="K21" s="45" t="s">
        <v>63</v>
      </c>
      <c r="L21" s="45"/>
      <c r="M21" s="77"/>
      <c r="N21" s="65" t="s">
        <v>13</v>
      </c>
      <c r="O21" s="46" t="s">
        <v>24</v>
      </c>
      <c r="P21" s="43"/>
      <c r="Q21" s="47">
        <v>100</v>
      </c>
      <c r="R21" s="85">
        <f>ROUNDUP(Q21*0.75,2)</f>
        <v>75</v>
      </c>
    </row>
    <row r="22" spans="1:18" ht="21.95" customHeight="1">
      <c r="A22" s="244"/>
      <c r="B22" s="65"/>
      <c r="C22" s="42" t="s">
        <v>56</v>
      </c>
      <c r="D22" s="43"/>
      <c r="E22" s="44">
        <v>20</v>
      </c>
      <c r="F22" s="45" t="s">
        <v>16</v>
      </c>
      <c r="G22" s="69"/>
      <c r="H22" s="73" t="s">
        <v>56</v>
      </c>
      <c r="I22" s="43"/>
      <c r="J22" s="45">
        <f>ROUNDUP(E22*0.75,2)</f>
        <v>15</v>
      </c>
      <c r="K22" s="45" t="s">
        <v>16</v>
      </c>
      <c r="L22" s="45"/>
      <c r="M22" s="77" t="e">
        <f>ROUND(#REF!+(#REF!*6/100),2)</f>
        <v>#REF!</v>
      </c>
      <c r="N22" s="65"/>
      <c r="O22" s="46" t="s">
        <v>94</v>
      </c>
      <c r="P22" s="43"/>
      <c r="Q22" s="47">
        <v>3</v>
      </c>
      <c r="R22" s="85">
        <f>ROUNDUP(Q22*0.75,2)</f>
        <v>2.25</v>
      </c>
    </row>
    <row r="23" spans="1:18" ht="21.95" customHeight="1">
      <c r="A23" s="244"/>
      <c r="B23" s="66"/>
      <c r="C23" s="49"/>
      <c r="D23" s="50"/>
      <c r="E23" s="51"/>
      <c r="F23" s="52"/>
      <c r="G23" s="70"/>
      <c r="H23" s="74"/>
      <c r="I23" s="50"/>
      <c r="J23" s="52"/>
      <c r="K23" s="52"/>
      <c r="L23" s="52"/>
      <c r="M23" s="78"/>
      <c r="N23" s="66"/>
      <c r="O23" s="53"/>
      <c r="P23" s="50"/>
      <c r="Q23" s="54"/>
      <c r="R23" s="86"/>
    </row>
    <row r="24" spans="1:18" ht="21.95" customHeight="1">
      <c r="A24" s="244"/>
      <c r="B24" s="65" t="s">
        <v>84</v>
      </c>
      <c r="C24" s="42" t="s">
        <v>85</v>
      </c>
      <c r="D24" s="43"/>
      <c r="E24" s="62">
        <v>0.125</v>
      </c>
      <c r="F24" s="45" t="s">
        <v>23</v>
      </c>
      <c r="G24" s="69"/>
      <c r="H24" s="73" t="s">
        <v>85</v>
      </c>
      <c r="I24" s="43"/>
      <c r="J24" s="45">
        <f>ROUNDUP(E24*0.75,2)</f>
        <v>9.9999999999999992E-2</v>
      </c>
      <c r="K24" s="45" t="s">
        <v>23</v>
      </c>
      <c r="L24" s="45"/>
      <c r="M24" s="77" t="e">
        <f>#REF!</f>
        <v>#REF!</v>
      </c>
      <c r="N24" s="65" t="s">
        <v>35</v>
      </c>
      <c r="O24" s="46"/>
      <c r="P24" s="43"/>
      <c r="Q24" s="47"/>
      <c r="R24" s="85"/>
    </row>
    <row r="25" spans="1:18" ht="21.95" customHeight="1" thickBot="1">
      <c r="A25" s="245"/>
      <c r="B25" s="67"/>
      <c r="C25" s="56"/>
      <c r="D25" s="57"/>
      <c r="E25" s="58"/>
      <c r="F25" s="59"/>
      <c r="G25" s="71"/>
      <c r="H25" s="75"/>
      <c r="I25" s="57"/>
      <c r="J25" s="59"/>
      <c r="K25" s="59"/>
      <c r="L25" s="59"/>
      <c r="M25" s="79"/>
      <c r="N25" s="67"/>
      <c r="O25" s="60"/>
      <c r="P25" s="57"/>
      <c r="Q25" s="61"/>
      <c r="R25" s="87"/>
    </row>
  </sheetData>
  <mergeCells count="4">
    <mergeCell ref="H1:N1"/>
    <mergeCell ref="A2:R2"/>
    <mergeCell ref="A3:F3"/>
    <mergeCell ref="A5:A25"/>
  </mergeCells>
  <phoneticPr fontId="17"/>
  <printOptions horizontalCentered="1" verticalCentered="1"/>
  <pageMargins left="0.39370078740157483" right="0.39370078740157483" top="0.39370078740157483" bottom="0.39370078740157483" header="0.39370078740157483" footer="0.39370078740157483"/>
  <pageSetup paperSize="12" scale="56"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5"/>
  <sheetViews>
    <sheetView showZeros="0" zoomScale="60" zoomScaleNormal="60" zoomScaleSheetLayoutView="80" workbookViewId="0"/>
  </sheetViews>
  <sheetFormatPr defaultRowHeight="18.75" customHeight="1"/>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c r="A1" s="1" t="s">
        <v>12</v>
      </c>
      <c r="B1" s="1"/>
      <c r="C1" s="2"/>
      <c r="D1" s="3"/>
      <c r="E1" s="2"/>
      <c r="F1" s="2"/>
      <c r="G1" s="2"/>
      <c r="H1" s="239"/>
      <c r="I1" s="239"/>
      <c r="J1" s="240"/>
      <c r="K1" s="240"/>
      <c r="L1" s="240"/>
      <c r="M1" s="240"/>
      <c r="N1" s="240"/>
      <c r="O1" s="2"/>
      <c r="P1" s="2"/>
      <c r="Q1" s="4"/>
      <c r="R1" s="4"/>
      <c r="S1" s="3"/>
    </row>
    <row r="2" spans="1:19" ht="36.75" customHeight="1">
      <c r="A2" s="239" t="s">
        <v>0</v>
      </c>
      <c r="B2" s="239"/>
      <c r="C2" s="240"/>
      <c r="D2" s="240"/>
      <c r="E2" s="240"/>
      <c r="F2" s="240"/>
      <c r="G2" s="240"/>
      <c r="H2" s="240"/>
      <c r="I2" s="240"/>
      <c r="J2" s="240"/>
      <c r="K2" s="240"/>
      <c r="L2" s="240"/>
      <c r="M2" s="240"/>
      <c r="N2" s="240"/>
      <c r="O2" s="240"/>
      <c r="P2" s="240"/>
      <c r="Q2" s="240"/>
      <c r="R2" s="240"/>
      <c r="S2" s="3"/>
    </row>
    <row r="3" spans="1:19" ht="27.75" customHeight="1" thickBot="1">
      <c r="A3" s="241" t="s">
        <v>273</v>
      </c>
      <c r="B3" s="242"/>
      <c r="C3" s="242"/>
      <c r="D3" s="242"/>
      <c r="E3" s="242"/>
      <c r="F3" s="242"/>
      <c r="G3" s="2"/>
      <c r="H3" s="2"/>
      <c r="I3" s="12"/>
      <c r="J3" s="2"/>
      <c r="K3" s="7"/>
      <c r="L3" s="7"/>
      <c r="M3" s="10"/>
      <c r="N3" s="2"/>
      <c r="O3" s="13"/>
      <c r="P3" s="12"/>
      <c r="Q3" s="14"/>
      <c r="R3" s="14"/>
      <c r="S3" s="11"/>
    </row>
    <row r="4" spans="1:19" customFormat="1" ht="42" customHeight="1" thickBot="1">
      <c r="A4" s="15"/>
      <c r="B4" s="16" t="s">
        <v>1</v>
      </c>
      <c r="C4" s="17" t="s">
        <v>2</v>
      </c>
      <c r="D4" s="18" t="s">
        <v>281</v>
      </c>
      <c r="E4" s="34" t="s">
        <v>6</v>
      </c>
      <c r="F4" s="19" t="s">
        <v>4</v>
      </c>
      <c r="G4" s="17" t="s">
        <v>5</v>
      </c>
      <c r="H4" s="16" t="s">
        <v>2</v>
      </c>
      <c r="I4" s="18" t="s">
        <v>281</v>
      </c>
      <c r="J4" s="35" t="s">
        <v>3</v>
      </c>
      <c r="K4" s="19" t="s">
        <v>4</v>
      </c>
      <c r="L4" s="19" t="s">
        <v>5</v>
      </c>
      <c r="M4" s="21" t="s">
        <v>7</v>
      </c>
      <c r="N4" s="22" t="s">
        <v>8</v>
      </c>
      <c r="O4" s="19" t="s">
        <v>9</v>
      </c>
      <c r="P4" s="23" t="s">
        <v>281</v>
      </c>
      <c r="Q4" s="20" t="s">
        <v>11</v>
      </c>
      <c r="R4" s="24" t="s">
        <v>10</v>
      </c>
      <c r="S4" s="25"/>
    </row>
    <row r="5" spans="1:19" ht="21.95" customHeight="1">
      <c r="A5" s="243" t="s">
        <v>37</v>
      </c>
      <c r="B5" s="64" t="s">
        <v>53</v>
      </c>
      <c r="C5" s="36"/>
      <c r="D5" s="37"/>
      <c r="E5" s="38"/>
      <c r="F5" s="39"/>
      <c r="G5" s="68"/>
      <c r="H5" s="72"/>
      <c r="I5" s="37"/>
      <c r="J5" s="39"/>
      <c r="K5" s="39"/>
      <c r="L5" s="39"/>
      <c r="M5" s="76"/>
      <c r="N5" s="64"/>
      <c r="O5" s="40" t="s">
        <v>53</v>
      </c>
      <c r="P5" s="37"/>
      <c r="Q5" s="41">
        <v>110</v>
      </c>
      <c r="R5" s="84">
        <f>ROUNDUP(Q5*0.75,2)</f>
        <v>82.5</v>
      </c>
    </row>
    <row r="6" spans="1:19" ht="21.95" customHeight="1">
      <c r="A6" s="244"/>
      <c r="B6" s="66"/>
      <c r="C6" s="49"/>
      <c r="D6" s="50"/>
      <c r="E6" s="51"/>
      <c r="F6" s="52"/>
      <c r="G6" s="70"/>
      <c r="H6" s="74"/>
      <c r="I6" s="50"/>
      <c r="J6" s="52"/>
      <c r="K6" s="52"/>
      <c r="L6" s="52"/>
      <c r="M6" s="78"/>
      <c r="N6" s="66"/>
      <c r="O6" s="53"/>
      <c r="P6" s="50"/>
      <c r="Q6" s="54"/>
      <c r="R6" s="86"/>
    </row>
    <row r="7" spans="1:19" ht="21.95" customHeight="1">
      <c r="A7" s="244"/>
      <c r="B7" s="65" t="s">
        <v>214</v>
      </c>
      <c r="C7" s="42" t="s">
        <v>56</v>
      </c>
      <c r="D7" s="43"/>
      <c r="E7" s="44">
        <v>20</v>
      </c>
      <c r="F7" s="45" t="s">
        <v>16</v>
      </c>
      <c r="G7" s="69"/>
      <c r="H7" s="73" t="s">
        <v>56</v>
      </c>
      <c r="I7" s="43"/>
      <c r="J7" s="45">
        <f>ROUNDUP(E7*0.75,2)</f>
        <v>15</v>
      </c>
      <c r="K7" s="45" t="s">
        <v>16</v>
      </c>
      <c r="L7" s="45"/>
      <c r="M7" s="77" t="e">
        <f>ROUND(#REF!+(#REF!*6/100),2)</f>
        <v>#REF!</v>
      </c>
      <c r="N7" s="65" t="s">
        <v>215</v>
      </c>
      <c r="O7" s="46" t="s">
        <v>32</v>
      </c>
      <c r="P7" s="43"/>
      <c r="Q7" s="47">
        <v>1</v>
      </c>
      <c r="R7" s="85">
        <f>ROUNDUP(Q7*0.75,2)</f>
        <v>0.75</v>
      </c>
    </row>
    <row r="8" spans="1:19" ht="21.95" customHeight="1">
      <c r="A8" s="244"/>
      <c r="B8" s="65"/>
      <c r="C8" s="42" t="s">
        <v>30</v>
      </c>
      <c r="D8" s="43"/>
      <c r="E8" s="44">
        <v>20</v>
      </c>
      <c r="F8" s="45" t="s">
        <v>16</v>
      </c>
      <c r="G8" s="69"/>
      <c r="H8" s="73" t="s">
        <v>30</v>
      </c>
      <c r="I8" s="43"/>
      <c r="J8" s="45">
        <f>ROUNDUP(E8*0.75,2)</f>
        <v>15</v>
      </c>
      <c r="K8" s="45" t="s">
        <v>16</v>
      </c>
      <c r="L8" s="45"/>
      <c r="M8" s="77" t="e">
        <f>ROUND(#REF!+(#REF!*10/100),2)</f>
        <v>#REF!</v>
      </c>
      <c r="N8" s="65" t="s">
        <v>216</v>
      </c>
      <c r="O8" s="46" t="s">
        <v>26</v>
      </c>
      <c r="P8" s="43"/>
      <c r="Q8" s="47">
        <v>0.1</v>
      </c>
      <c r="R8" s="85">
        <f>ROUNDUP(Q8*0.75,2)</f>
        <v>0.08</v>
      </c>
    </row>
    <row r="9" spans="1:19" ht="21.95" customHeight="1">
      <c r="A9" s="244"/>
      <c r="B9" s="65"/>
      <c r="C9" s="42" t="s">
        <v>21</v>
      </c>
      <c r="D9" s="43" t="s">
        <v>22</v>
      </c>
      <c r="E9" s="44">
        <v>1</v>
      </c>
      <c r="F9" s="45" t="s">
        <v>23</v>
      </c>
      <c r="G9" s="69"/>
      <c r="H9" s="73" t="s">
        <v>21</v>
      </c>
      <c r="I9" s="43" t="s">
        <v>22</v>
      </c>
      <c r="J9" s="45">
        <f>ROUNDUP(E9*0.75,2)</f>
        <v>0.75</v>
      </c>
      <c r="K9" s="45" t="s">
        <v>23</v>
      </c>
      <c r="L9" s="45"/>
      <c r="M9" s="77" t="e">
        <f>#REF!</f>
        <v>#REF!</v>
      </c>
      <c r="N9" s="65" t="s">
        <v>217</v>
      </c>
      <c r="O9" s="46" t="s">
        <v>108</v>
      </c>
      <c r="P9" s="43"/>
      <c r="Q9" s="47">
        <v>0.01</v>
      </c>
      <c r="R9" s="85">
        <f>ROUNDUP(Q9*0.75,2)</f>
        <v>0.01</v>
      </c>
    </row>
    <row r="10" spans="1:19" ht="21.95" customHeight="1">
      <c r="A10" s="244"/>
      <c r="B10" s="65"/>
      <c r="C10" s="42" t="s">
        <v>120</v>
      </c>
      <c r="D10" s="43"/>
      <c r="E10" s="44">
        <v>20</v>
      </c>
      <c r="F10" s="45" t="s">
        <v>16</v>
      </c>
      <c r="G10" s="69"/>
      <c r="H10" s="73" t="s">
        <v>120</v>
      </c>
      <c r="I10" s="43"/>
      <c r="J10" s="45">
        <f>ROUNDUP(E10*0.75,2)</f>
        <v>15</v>
      </c>
      <c r="K10" s="45" t="s">
        <v>16</v>
      </c>
      <c r="L10" s="45"/>
      <c r="M10" s="77" t="e">
        <f>ROUND(#REF!+(#REF!*15/100),2)</f>
        <v>#REF!</v>
      </c>
      <c r="N10" s="65" t="s">
        <v>218</v>
      </c>
      <c r="O10" s="46" t="s">
        <v>32</v>
      </c>
      <c r="P10" s="43"/>
      <c r="Q10" s="47">
        <v>2</v>
      </c>
      <c r="R10" s="85">
        <f>ROUNDUP(Q10*0.75,2)</f>
        <v>1.5</v>
      </c>
    </row>
    <row r="11" spans="1:19" ht="21.95" customHeight="1">
      <c r="A11" s="244"/>
      <c r="B11" s="65"/>
      <c r="C11" s="42"/>
      <c r="D11" s="43"/>
      <c r="E11" s="44"/>
      <c r="F11" s="45"/>
      <c r="G11" s="69"/>
      <c r="H11" s="73"/>
      <c r="I11" s="43"/>
      <c r="J11" s="45"/>
      <c r="K11" s="45"/>
      <c r="L11" s="45"/>
      <c r="M11" s="77"/>
      <c r="N11" s="65" t="s">
        <v>13</v>
      </c>
      <c r="O11" s="46" t="s">
        <v>76</v>
      </c>
      <c r="P11" s="43"/>
      <c r="Q11" s="47">
        <v>5</v>
      </c>
      <c r="R11" s="85">
        <f>ROUNDUP(Q11*0.75,2)</f>
        <v>3.75</v>
      </c>
    </row>
    <row r="12" spans="1:19" ht="21.95" customHeight="1">
      <c r="A12" s="244"/>
      <c r="B12" s="66"/>
      <c r="C12" s="49"/>
      <c r="D12" s="50"/>
      <c r="E12" s="51"/>
      <c r="F12" s="52"/>
      <c r="G12" s="70"/>
      <c r="H12" s="74"/>
      <c r="I12" s="50"/>
      <c r="J12" s="52"/>
      <c r="K12" s="52"/>
      <c r="L12" s="52"/>
      <c r="M12" s="78"/>
      <c r="N12" s="66"/>
      <c r="O12" s="53"/>
      <c r="P12" s="50"/>
      <c r="Q12" s="54"/>
      <c r="R12" s="86"/>
    </row>
    <row r="13" spans="1:19" ht="21.95" customHeight="1">
      <c r="A13" s="244"/>
      <c r="B13" s="65" t="s">
        <v>219</v>
      </c>
      <c r="C13" s="42" t="s">
        <v>115</v>
      </c>
      <c r="D13" s="43"/>
      <c r="E13" s="81">
        <v>0.25</v>
      </c>
      <c r="F13" s="45" t="s">
        <v>116</v>
      </c>
      <c r="G13" s="69" t="s">
        <v>14</v>
      </c>
      <c r="H13" s="73" t="s">
        <v>115</v>
      </c>
      <c r="I13" s="43"/>
      <c r="J13" s="45">
        <f>ROUNDUP(E13*0.75,2)</f>
        <v>0.19</v>
      </c>
      <c r="K13" s="45" t="s">
        <v>116</v>
      </c>
      <c r="L13" s="45" t="s">
        <v>14</v>
      </c>
      <c r="M13" s="77" t="e">
        <f>#REF!</f>
        <v>#REF!</v>
      </c>
      <c r="N13" s="65" t="s">
        <v>220</v>
      </c>
      <c r="O13" s="46" t="s">
        <v>121</v>
      </c>
      <c r="P13" s="43"/>
      <c r="Q13" s="47">
        <v>1.5</v>
      </c>
      <c r="R13" s="85">
        <f>ROUNDUP(Q13*0.75,2)</f>
        <v>1.1300000000000001</v>
      </c>
    </row>
    <row r="14" spans="1:19" ht="21.95" customHeight="1">
      <c r="A14" s="244"/>
      <c r="B14" s="65"/>
      <c r="C14" s="42" t="s">
        <v>54</v>
      </c>
      <c r="D14" s="43" t="s">
        <v>55</v>
      </c>
      <c r="E14" s="44">
        <v>2</v>
      </c>
      <c r="F14" s="45" t="s">
        <v>16</v>
      </c>
      <c r="G14" s="69"/>
      <c r="H14" s="73" t="s">
        <v>54</v>
      </c>
      <c r="I14" s="43" t="s">
        <v>55</v>
      </c>
      <c r="J14" s="45">
        <f>ROUNDUP(E14*0.75,2)</f>
        <v>1.5</v>
      </c>
      <c r="K14" s="45" t="s">
        <v>16</v>
      </c>
      <c r="L14" s="45"/>
      <c r="M14" s="77" t="e">
        <f>#REF!</f>
        <v>#REF!</v>
      </c>
      <c r="N14" s="65" t="s">
        <v>272</v>
      </c>
      <c r="O14" s="46" t="s">
        <v>24</v>
      </c>
      <c r="P14" s="43"/>
      <c r="Q14" s="47">
        <v>30</v>
      </c>
      <c r="R14" s="85">
        <f>ROUNDUP(Q14*0.75,2)</f>
        <v>22.5</v>
      </c>
    </row>
    <row r="15" spans="1:19" ht="21.95" customHeight="1">
      <c r="A15" s="244"/>
      <c r="B15" s="65"/>
      <c r="C15" s="42" t="s">
        <v>20</v>
      </c>
      <c r="D15" s="43"/>
      <c r="E15" s="44">
        <v>5</v>
      </c>
      <c r="F15" s="45" t="s">
        <v>16</v>
      </c>
      <c r="G15" s="69"/>
      <c r="H15" s="73" t="s">
        <v>20</v>
      </c>
      <c r="I15" s="43"/>
      <c r="J15" s="45">
        <f>ROUNDUP(E15*0.75,2)</f>
        <v>3.75</v>
      </c>
      <c r="K15" s="45" t="s">
        <v>16</v>
      </c>
      <c r="L15" s="45"/>
      <c r="M15" s="77" t="e">
        <f>ROUND(#REF!+(#REF!*3/100),2)</f>
        <v>#REF!</v>
      </c>
      <c r="N15" s="65" t="s">
        <v>221</v>
      </c>
      <c r="O15" s="46" t="s">
        <v>25</v>
      </c>
      <c r="P15" s="43"/>
      <c r="Q15" s="47">
        <v>3</v>
      </c>
      <c r="R15" s="85">
        <f>ROUNDUP(Q15*0.75,2)</f>
        <v>2.25</v>
      </c>
    </row>
    <row r="16" spans="1:19" ht="21.95" customHeight="1">
      <c r="A16" s="244"/>
      <c r="B16" s="65"/>
      <c r="C16" s="42" t="s">
        <v>80</v>
      </c>
      <c r="D16" s="43"/>
      <c r="E16" s="44">
        <v>0.5</v>
      </c>
      <c r="F16" s="45" t="s">
        <v>16</v>
      </c>
      <c r="G16" s="69" t="s">
        <v>81</v>
      </c>
      <c r="H16" s="73" t="s">
        <v>80</v>
      </c>
      <c r="I16" s="43"/>
      <c r="J16" s="45">
        <f>ROUNDUP(E16*0.75,2)</f>
        <v>0.38</v>
      </c>
      <c r="K16" s="45" t="s">
        <v>16</v>
      </c>
      <c r="L16" s="45" t="s">
        <v>81</v>
      </c>
      <c r="M16" s="77" t="e">
        <f>#REF!</f>
        <v>#REF!</v>
      </c>
      <c r="N16" s="65" t="s">
        <v>222</v>
      </c>
      <c r="O16" s="46" t="s">
        <v>27</v>
      </c>
      <c r="P16" s="43" t="s">
        <v>15</v>
      </c>
      <c r="Q16" s="47">
        <v>1.5</v>
      </c>
      <c r="R16" s="85">
        <f>ROUNDUP(Q16*0.75,2)</f>
        <v>1.1300000000000001</v>
      </c>
    </row>
    <row r="17" spans="1:18" ht="21.95" customHeight="1">
      <c r="A17" s="244"/>
      <c r="B17" s="65"/>
      <c r="C17" s="42"/>
      <c r="D17" s="43"/>
      <c r="E17" s="44"/>
      <c r="F17" s="45"/>
      <c r="G17" s="69"/>
      <c r="H17" s="73"/>
      <c r="I17" s="43"/>
      <c r="J17" s="45"/>
      <c r="K17" s="45"/>
      <c r="L17" s="45"/>
      <c r="M17" s="77"/>
      <c r="N17" s="65" t="s">
        <v>29</v>
      </c>
      <c r="O17" s="46" t="s">
        <v>28</v>
      </c>
      <c r="P17" s="43"/>
      <c r="Q17" s="47">
        <v>1</v>
      </c>
      <c r="R17" s="85">
        <f>ROUNDUP(Q17*0.75,2)</f>
        <v>0.75</v>
      </c>
    </row>
    <row r="18" spans="1:18" ht="21.95" customHeight="1">
      <c r="A18" s="244"/>
      <c r="B18" s="65"/>
      <c r="C18" s="42"/>
      <c r="D18" s="43"/>
      <c r="E18" s="44"/>
      <c r="F18" s="45"/>
      <c r="G18" s="69"/>
      <c r="H18" s="73"/>
      <c r="I18" s="43"/>
      <c r="J18" s="45"/>
      <c r="K18" s="45"/>
      <c r="L18" s="45"/>
      <c r="M18" s="77"/>
      <c r="N18" s="65"/>
      <c r="O18" s="46"/>
      <c r="P18" s="43"/>
      <c r="Q18" s="47"/>
      <c r="R18" s="85"/>
    </row>
    <row r="19" spans="1:18" ht="21.95" customHeight="1">
      <c r="A19" s="244"/>
      <c r="B19" s="66"/>
      <c r="C19" s="49"/>
      <c r="D19" s="50"/>
      <c r="E19" s="51"/>
      <c r="F19" s="52"/>
      <c r="G19" s="70"/>
      <c r="H19" s="74"/>
      <c r="I19" s="50"/>
      <c r="J19" s="52"/>
      <c r="K19" s="52"/>
      <c r="L19" s="52"/>
      <c r="M19" s="78"/>
      <c r="N19" s="66"/>
      <c r="O19" s="53"/>
      <c r="P19" s="50"/>
      <c r="Q19" s="54"/>
      <c r="R19" s="86"/>
    </row>
    <row r="20" spans="1:18" ht="21.95" customHeight="1">
      <c r="A20" s="244"/>
      <c r="B20" s="65" t="s">
        <v>223</v>
      </c>
      <c r="C20" s="42" t="s">
        <v>61</v>
      </c>
      <c r="D20" s="43"/>
      <c r="E20" s="44">
        <v>20</v>
      </c>
      <c r="F20" s="45" t="s">
        <v>16</v>
      </c>
      <c r="G20" s="69"/>
      <c r="H20" s="73" t="s">
        <v>61</v>
      </c>
      <c r="I20" s="43"/>
      <c r="J20" s="45">
        <f>ROUNDUP(E20*0.75,2)</f>
        <v>15</v>
      </c>
      <c r="K20" s="45" t="s">
        <v>16</v>
      </c>
      <c r="L20" s="45"/>
      <c r="M20" s="77" t="e">
        <f>ROUND(#REF!+(#REF!*10/100),2)</f>
        <v>#REF!</v>
      </c>
      <c r="N20" s="65" t="s">
        <v>13</v>
      </c>
      <c r="O20" s="46" t="s">
        <v>49</v>
      </c>
      <c r="P20" s="43"/>
      <c r="Q20" s="47">
        <v>100</v>
      </c>
      <c r="R20" s="85">
        <f>ROUNDUP(Q20*0.75,2)</f>
        <v>75</v>
      </c>
    </row>
    <row r="21" spans="1:18" ht="21.95" customHeight="1">
      <c r="A21" s="244"/>
      <c r="B21" s="65"/>
      <c r="C21" s="42" t="s">
        <v>124</v>
      </c>
      <c r="D21" s="43"/>
      <c r="E21" s="44">
        <v>5</v>
      </c>
      <c r="F21" s="45" t="s">
        <v>16</v>
      </c>
      <c r="G21" s="69"/>
      <c r="H21" s="73" t="s">
        <v>124</v>
      </c>
      <c r="I21" s="43"/>
      <c r="J21" s="45">
        <f>ROUNDUP(E21*0.75,2)</f>
        <v>3.75</v>
      </c>
      <c r="K21" s="45" t="s">
        <v>16</v>
      </c>
      <c r="L21" s="45"/>
      <c r="M21" s="77" t="e">
        <f>ROUND(#REF!+(#REF!*15/100),2)</f>
        <v>#REF!</v>
      </c>
      <c r="N21" s="65"/>
      <c r="O21" s="46" t="s">
        <v>157</v>
      </c>
      <c r="P21" s="43" t="s">
        <v>158</v>
      </c>
      <c r="Q21" s="47">
        <v>0.5</v>
      </c>
      <c r="R21" s="85">
        <f>ROUNDUP(Q21*0.75,2)</f>
        <v>0.38</v>
      </c>
    </row>
    <row r="22" spans="1:18" ht="21.95" customHeight="1">
      <c r="A22" s="244"/>
      <c r="B22" s="65"/>
      <c r="C22" s="42"/>
      <c r="D22" s="43"/>
      <c r="E22" s="44"/>
      <c r="F22" s="45"/>
      <c r="G22" s="69"/>
      <c r="H22" s="73"/>
      <c r="I22" s="43"/>
      <c r="J22" s="45"/>
      <c r="K22" s="45"/>
      <c r="L22" s="45"/>
      <c r="M22" s="77"/>
      <c r="N22" s="65"/>
      <c r="O22" s="46" t="s">
        <v>26</v>
      </c>
      <c r="P22" s="43"/>
      <c r="Q22" s="47">
        <v>0.1</v>
      </c>
      <c r="R22" s="85">
        <f>ROUNDUP(Q22*0.75,2)</f>
        <v>0.08</v>
      </c>
    </row>
    <row r="23" spans="1:18" ht="21.95" customHeight="1">
      <c r="A23" s="244"/>
      <c r="B23" s="66"/>
      <c r="C23" s="49"/>
      <c r="D23" s="50"/>
      <c r="E23" s="51"/>
      <c r="F23" s="52"/>
      <c r="G23" s="70"/>
      <c r="H23" s="74"/>
      <c r="I23" s="50"/>
      <c r="J23" s="52"/>
      <c r="K23" s="52"/>
      <c r="L23" s="52"/>
      <c r="M23" s="78"/>
      <c r="N23" s="66"/>
      <c r="O23" s="53"/>
      <c r="P23" s="50"/>
      <c r="Q23" s="54"/>
      <c r="R23" s="86"/>
    </row>
    <row r="24" spans="1:18" ht="21.95" customHeight="1">
      <c r="A24" s="244"/>
      <c r="B24" s="65" t="s">
        <v>67</v>
      </c>
      <c r="C24" s="42" t="s">
        <v>274</v>
      </c>
      <c r="D24" s="43"/>
      <c r="E24" s="44">
        <v>20</v>
      </c>
      <c r="F24" s="45" t="s">
        <v>16</v>
      </c>
      <c r="G24" s="69" t="s">
        <v>68</v>
      </c>
      <c r="H24" s="73" t="s">
        <v>275</v>
      </c>
      <c r="I24" s="43"/>
      <c r="J24" s="45">
        <f>ROUNDUP(E24*0.75,2)</f>
        <v>15</v>
      </c>
      <c r="K24" s="45" t="s">
        <v>16</v>
      </c>
      <c r="L24" s="45" t="s">
        <v>68</v>
      </c>
      <c r="M24" s="77" t="e">
        <f>#REF!</f>
        <v>#REF!</v>
      </c>
      <c r="N24" s="65"/>
      <c r="O24" s="46"/>
      <c r="P24" s="43"/>
      <c r="Q24" s="47"/>
      <c r="R24" s="85"/>
    </row>
    <row r="25" spans="1:18" ht="21.95" customHeight="1" thickBot="1">
      <c r="A25" s="245"/>
      <c r="B25" s="67"/>
      <c r="C25" s="56"/>
      <c r="D25" s="57"/>
      <c r="E25" s="58"/>
      <c r="F25" s="59"/>
      <c r="G25" s="71"/>
      <c r="H25" s="75"/>
      <c r="I25" s="57"/>
      <c r="J25" s="59"/>
      <c r="K25" s="59"/>
      <c r="L25" s="59"/>
      <c r="M25" s="79"/>
      <c r="N25" s="67"/>
      <c r="O25" s="60"/>
      <c r="P25" s="57"/>
      <c r="Q25" s="61"/>
      <c r="R25" s="87"/>
    </row>
  </sheetData>
  <mergeCells count="4">
    <mergeCell ref="H1:N1"/>
    <mergeCell ref="A2:R2"/>
    <mergeCell ref="A3:F3"/>
    <mergeCell ref="A5:A25"/>
  </mergeCells>
  <phoneticPr fontId="19"/>
  <printOptions horizontalCentered="1" verticalCentered="1"/>
  <pageMargins left="0.39370078740157483" right="0.39370078740157483" top="0.39370078740157483" bottom="0.39370078740157483" header="0.39370078740157483" footer="0.39370078740157483"/>
  <pageSetup paperSize="12" scale="5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5"/>
  <sheetViews>
    <sheetView showZeros="0" zoomScale="60" zoomScaleNormal="60" zoomScaleSheetLayoutView="80" workbookViewId="0"/>
  </sheetViews>
  <sheetFormatPr defaultRowHeight="18.75" customHeight="1"/>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c r="A1" s="1" t="s">
        <v>12</v>
      </c>
      <c r="B1" s="1"/>
      <c r="C1" s="2"/>
      <c r="D1" s="3"/>
      <c r="E1" s="2"/>
      <c r="F1" s="2"/>
      <c r="G1" s="2"/>
      <c r="H1" s="239"/>
      <c r="I1" s="239"/>
      <c r="J1" s="240"/>
      <c r="K1" s="240"/>
      <c r="L1" s="240"/>
      <c r="M1" s="240"/>
      <c r="N1" s="240"/>
      <c r="O1" s="2"/>
      <c r="P1" s="2"/>
      <c r="Q1" s="4"/>
      <c r="R1" s="4"/>
      <c r="S1" s="3"/>
    </row>
    <row r="2" spans="1:19" ht="36.75" customHeight="1">
      <c r="A2" s="239" t="s">
        <v>0</v>
      </c>
      <c r="B2" s="239"/>
      <c r="C2" s="240"/>
      <c r="D2" s="240"/>
      <c r="E2" s="240"/>
      <c r="F2" s="240"/>
      <c r="G2" s="240"/>
      <c r="H2" s="240"/>
      <c r="I2" s="240"/>
      <c r="J2" s="240"/>
      <c r="K2" s="240"/>
      <c r="L2" s="240"/>
      <c r="M2" s="240"/>
      <c r="N2" s="240"/>
      <c r="O2" s="240"/>
      <c r="P2" s="240"/>
      <c r="Q2" s="240"/>
      <c r="R2" s="240"/>
      <c r="S2" s="3"/>
    </row>
    <row r="3" spans="1:19" ht="27.75" customHeight="1" thickBot="1">
      <c r="A3" s="241" t="s">
        <v>95</v>
      </c>
      <c r="B3" s="242"/>
      <c r="C3" s="242"/>
      <c r="D3" s="242"/>
      <c r="E3" s="242"/>
      <c r="F3" s="242"/>
      <c r="G3" s="2"/>
      <c r="H3" s="2"/>
      <c r="I3" s="12"/>
      <c r="J3" s="2"/>
      <c r="K3" s="7"/>
      <c r="L3" s="7"/>
      <c r="M3" s="10"/>
      <c r="N3" s="2"/>
      <c r="O3" s="13"/>
      <c r="P3" s="12"/>
      <c r="Q3" s="14"/>
      <c r="R3" s="14"/>
      <c r="S3" s="11"/>
    </row>
    <row r="4" spans="1:19" customFormat="1" ht="42" customHeight="1" thickBot="1">
      <c r="A4" s="15"/>
      <c r="B4" s="16" t="s">
        <v>1</v>
      </c>
      <c r="C4" s="17" t="s">
        <v>2</v>
      </c>
      <c r="D4" s="18" t="s">
        <v>281</v>
      </c>
      <c r="E4" s="34" t="s">
        <v>6</v>
      </c>
      <c r="F4" s="19" t="s">
        <v>4</v>
      </c>
      <c r="G4" s="17" t="s">
        <v>5</v>
      </c>
      <c r="H4" s="16" t="s">
        <v>2</v>
      </c>
      <c r="I4" s="18" t="s">
        <v>281</v>
      </c>
      <c r="J4" s="35" t="s">
        <v>3</v>
      </c>
      <c r="K4" s="19" t="s">
        <v>4</v>
      </c>
      <c r="L4" s="19" t="s">
        <v>5</v>
      </c>
      <c r="M4" s="21" t="s">
        <v>7</v>
      </c>
      <c r="N4" s="22" t="s">
        <v>8</v>
      </c>
      <c r="O4" s="19" t="s">
        <v>9</v>
      </c>
      <c r="P4" s="23" t="s">
        <v>281</v>
      </c>
      <c r="Q4" s="20" t="s">
        <v>11</v>
      </c>
      <c r="R4" s="24" t="s">
        <v>10</v>
      </c>
      <c r="S4" s="25"/>
    </row>
    <row r="5" spans="1:19" ht="21.95" customHeight="1">
      <c r="A5" s="243" t="s">
        <v>37</v>
      </c>
      <c r="B5" s="64" t="s">
        <v>96</v>
      </c>
      <c r="C5" s="36" t="s">
        <v>97</v>
      </c>
      <c r="D5" s="37" t="s">
        <v>98</v>
      </c>
      <c r="E5" s="80">
        <v>0.5</v>
      </c>
      <c r="F5" s="39" t="s">
        <v>63</v>
      </c>
      <c r="G5" s="68" t="s">
        <v>14</v>
      </c>
      <c r="H5" s="72" t="s">
        <v>97</v>
      </c>
      <c r="I5" s="37" t="s">
        <v>98</v>
      </c>
      <c r="J5" s="39">
        <f>ROUNDUP(E5*0.75,2)</f>
        <v>0.38</v>
      </c>
      <c r="K5" s="39" t="s">
        <v>63</v>
      </c>
      <c r="L5" s="39" t="s">
        <v>14</v>
      </c>
      <c r="M5" s="76" t="e">
        <f>#REF!</f>
        <v>#REF!</v>
      </c>
      <c r="N5" s="64"/>
      <c r="O5" s="40" t="s">
        <v>53</v>
      </c>
      <c r="P5" s="37"/>
      <c r="Q5" s="41">
        <v>110</v>
      </c>
      <c r="R5" s="84">
        <f>ROUNDUP(Q5*0.75,2)</f>
        <v>82.5</v>
      </c>
    </row>
    <row r="6" spans="1:19" ht="21.95" customHeight="1">
      <c r="A6" s="244"/>
      <c r="B6" s="66"/>
      <c r="C6" s="49"/>
      <c r="D6" s="50"/>
      <c r="E6" s="51"/>
      <c r="F6" s="52"/>
      <c r="G6" s="70"/>
      <c r="H6" s="74"/>
      <c r="I6" s="50"/>
      <c r="J6" s="52"/>
      <c r="K6" s="52"/>
      <c r="L6" s="52"/>
      <c r="M6" s="78"/>
      <c r="N6" s="66"/>
      <c r="O6" s="53"/>
      <c r="P6" s="50"/>
      <c r="Q6" s="54"/>
      <c r="R6" s="86"/>
    </row>
    <row r="7" spans="1:19" ht="21.95" customHeight="1">
      <c r="A7" s="244"/>
      <c r="B7" s="65" t="s">
        <v>99</v>
      </c>
      <c r="C7" s="42" t="s">
        <v>105</v>
      </c>
      <c r="D7" s="43"/>
      <c r="E7" s="44">
        <v>40</v>
      </c>
      <c r="F7" s="45" t="s">
        <v>16</v>
      </c>
      <c r="G7" s="69" t="s">
        <v>18</v>
      </c>
      <c r="H7" s="73" t="s">
        <v>105</v>
      </c>
      <c r="I7" s="43"/>
      <c r="J7" s="45">
        <f t="shared" ref="J7:J12" si="0">ROUNDUP(E7*0.75,2)</f>
        <v>30</v>
      </c>
      <c r="K7" s="45" t="s">
        <v>16</v>
      </c>
      <c r="L7" s="45" t="s">
        <v>18</v>
      </c>
      <c r="M7" s="77" t="e">
        <f>#REF!</f>
        <v>#REF!</v>
      </c>
      <c r="N7" s="65" t="s">
        <v>100</v>
      </c>
      <c r="O7" s="46" t="s">
        <v>32</v>
      </c>
      <c r="P7" s="43"/>
      <c r="Q7" s="47">
        <v>1</v>
      </c>
      <c r="R7" s="85">
        <f t="shared" ref="R7:R15" si="1">ROUNDUP(Q7*0.75,2)</f>
        <v>0.75</v>
      </c>
    </row>
    <row r="8" spans="1:19" ht="21.95" customHeight="1">
      <c r="A8" s="244"/>
      <c r="B8" s="65"/>
      <c r="C8" s="42" t="s">
        <v>56</v>
      </c>
      <c r="D8" s="43"/>
      <c r="E8" s="44">
        <v>20</v>
      </c>
      <c r="F8" s="45" t="s">
        <v>16</v>
      </c>
      <c r="G8" s="69"/>
      <c r="H8" s="73" t="s">
        <v>56</v>
      </c>
      <c r="I8" s="43"/>
      <c r="J8" s="45">
        <f t="shared" si="0"/>
        <v>15</v>
      </c>
      <c r="K8" s="45" t="s">
        <v>16</v>
      </c>
      <c r="L8" s="45"/>
      <c r="M8" s="77" t="e">
        <f>ROUND(#REF!+(#REF!*6/100),2)</f>
        <v>#REF!</v>
      </c>
      <c r="N8" s="65" t="s">
        <v>101</v>
      </c>
      <c r="O8" s="46" t="s">
        <v>26</v>
      </c>
      <c r="P8" s="43"/>
      <c r="Q8" s="47">
        <v>0.1</v>
      </c>
      <c r="R8" s="85">
        <f t="shared" si="1"/>
        <v>0.08</v>
      </c>
    </row>
    <row r="9" spans="1:19" ht="21.95" customHeight="1">
      <c r="A9" s="244"/>
      <c r="B9" s="65"/>
      <c r="C9" s="42" t="s">
        <v>106</v>
      </c>
      <c r="D9" s="43" t="s">
        <v>15</v>
      </c>
      <c r="E9" s="44">
        <v>5</v>
      </c>
      <c r="F9" s="45" t="s">
        <v>16</v>
      </c>
      <c r="G9" s="69" t="s">
        <v>107</v>
      </c>
      <c r="H9" s="73" t="s">
        <v>106</v>
      </c>
      <c r="I9" s="43" t="s">
        <v>15</v>
      </c>
      <c r="J9" s="45">
        <f t="shared" si="0"/>
        <v>3.75</v>
      </c>
      <c r="K9" s="45" t="s">
        <v>16</v>
      </c>
      <c r="L9" s="45" t="s">
        <v>107</v>
      </c>
      <c r="M9" s="77" t="e">
        <f>#REF!</f>
        <v>#REF!</v>
      </c>
      <c r="N9" s="65" t="s">
        <v>102</v>
      </c>
      <c r="O9" s="46" t="s">
        <v>108</v>
      </c>
      <c r="P9" s="43"/>
      <c r="Q9" s="47">
        <v>0.01</v>
      </c>
      <c r="R9" s="85">
        <f t="shared" si="1"/>
        <v>0.01</v>
      </c>
    </row>
    <row r="10" spans="1:19" ht="21.95" customHeight="1">
      <c r="A10" s="244"/>
      <c r="B10" s="65"/>
      <c r="C10" s="42" t="s">
        <v>38</v>
      </c>
      <c r="D10" s="43" t="s">
        <v>39</v>
      </c>
      <c r="E10" s="44">
        <v>5</v>
      </c>
      <c r="F10" s="45" t="s">
        <v>40</v>
      </c>
      <c r="G10" s="69" t="s">
        <v>14</v>
      </c>
      <c r="H10" s="73" t="s">
        <v>38</v>
      </c>
      <c r="I10" s="43" t="s">
        <v>39</v>
      </c>
      <c r="J10" s="45">
        <f t="shared" si="0"/>
        <v>3.75</v>
      </c>
      <c r="K10" s="45" t="s">
        <v>40</v>
      </c>
      <c r="L10" s="45" t="s">
        <v>14</v>
      </c>
      <c r="M10" s="77" t="e">
        <f>#REF!</f>
        <v>#REF!</v>
      </c>
      <c r="N10" s="65" t="s">
        <v>103</v>
      </c>
      <c r="O10" s="46" t="s">
        <v>32</v>
      </c>
      <c r="P10" s="43"/>
      <c r="Q10" s="47">
        <v>2</v>
      </c>
      <c r="R10" s="85">
        <f t="shared" si="1"/>
        <v>1.5</v>
      </c>
    </row>
    <row r="11" spans="1:19" ht="21.95" customHeight="1">
      <c r="A11" s="244"/>
      <c r="B11" s="65"/>
      <c r="C11" s="42" t="s">
        <v>109</v>
      </c>
      <c r="D11" s="43"/>
      <c r="E11" s="44">
        <v>20</v>
      </c>
      <c r="F11" s="45" t="s">
        <v>16</v>
      </c>
      <c r="G11" s="69"/>
      <c r="H11" s="73" t="s">
        <v>109</v>
      </c>
      <c r="I11" s="43"/>
      <c r="J11" s="45">
        <f t="shared" si="0"/>
        <v>15</v>
      </c>
      <c r="K11" s="45" t="s">
        <v>16</v>
      </c>
      <c r="L11" s="45"/>
      <c r="M11" s="77" t="e">
        <f>#REF!</f>
        <v>#REF!</v>
      </c>
      <c r="N11" s="65" t="s">
        <v>104</v>
      </c>
      <c r="O11" s="46" t="s">
        <v>49</v>
      </c>
      <c r="P11" s="43"/>
      <c r="Q11" s="47">
        <v>30</v>
      </c>
      <c r="R11" s="85">
        <f t="shared" si="1"/>
        <v>22.5</v>
      </c>
    </row>
    <row r="12" spans="1:19" ht="21.95" customHeight="1">
      <c r="A12" s="244"/>
      <c r="B12" s="65"/>
      <c r="C12" s="42" t="s">
        <v>111</v>
      </c>
      <c r="D12" s="43"/>
      <c r="E12" s="44">
        <v>0.5</v>
      </c>
      <c r="F12" s="45" t="s">
        <v>16</v>
      </c>
      <c r="G12" s="69"/>
      <c r="H12" s="73" t="s">
        <v>111</v>
      </c>
      <c r="I12" s="43"/>
      <c r="J12" s="45">
        <f t="shared" si="0"/>
        <v>0.38</v>
      </c>
      <c r="K12" s="45" t="s">
        <v>16</v>
      </c>
      <c r="L12" s="45"/>
      <c r="M12" s="77" t="e">
        <f>ROUND(#REF!+(#REF!*10/100),2)</f>
        <v>#REF!</v>
      </c>
      <c r="N12" s="65" t="s">
        <v>29</v>
      </c>
      <c r="O12" s="46" t="s">
        <v>76</v>
      </c>
      <c r="P12" s="43"/>
      <c r="Q12" s="47">
        <v>3</v>
      </c>
      <c r="R12" s="85">
        <f t="shared" si="1"/>
        <v>2.25</v>
      </c>
    </row>
    <row r="13" spans="1:19" ht="21.95" customHeight="1">
      <c r="A13" s="244"/>
      <c r="B13" s="65"/>
      <c r="C13" s="42"/>
      <c r="D13" s="43"/>
      <c r="E13" s="44"/>
      <c r="F13" s="45"/>
      <c r="G13" s="69"/>
      <c r="H13" s="73"/>
      <c r="I13" s="43"/>
      <c r="J13" s="45"/>
      <c r="K13" s="45"/>
      <c r="L13" s="45"/>
      <c r="M13" s="77"/>
      <c r="N13" s="65"/>
      <c r="O13" s="46" t="s">
        <v>110</v>
      </c>
      <c r="P13" s="43"/>
      <c r="Q13" s="47">
        <v>1.5</v>
      </c>
      <c r="R13" s="85">
        <f t="shared" si="1"/>
        <v>1.1300000000000001</v>
      </c>
    </row>
    <row r="14" spans="1:19" ht="21.95" customHeight="1">
      <c r="A14" s="244"/>
      <c r="B14" s="65"/>
      <c r="C14" s="42"/>
      <c r="D14" s="43"/>
      <c r="E14" s="44"/>
      <c r="F14" s="45"/>
      <c r="G14" s="69"/>
      <c r="H14" s="73"/>
      <c r="I14" s="43"/>
      <c r="J14" s="45"/>
      <c r="K14" s="45"/>
      <c r="L14" s="45"/>
      <c r="M14" s="77"/>
      <c r="N14" s="65"/>
      <c r="O14" s="46" t="s">
        <v>25</v>
      </c>
      <c r="P14" s="43"/>
      <c r="Q14" s="47">
        <v>2.5</v>
      </c>
      <c r="R14" s="85">
        <f t="shared" si="1"/>
        <v>1.8800000000000001</v>
      </c>
    </row>
    <row r="15" spans="1:19" ht="21.95" customHeight="1">
      <c r="A15" s="244"/>
      <c r="B15" s="65"/>
      <c r="C15" s="42"/>
      <c r="D15" s="43"/>
      <c r="E15" s="44"/>
      <c r="F15" s="45"/>
      <c r="G15" s="69"/>
      <c r="H15" s="73"/>
      <c r="I15" s="43"/>
      <c r="J15" s="45"/>
      <c r="K15" s="45"/>
      <c r="L15" s="45"/>
      <c r="M15" s="77"/>
      <c r="N15" s="65"/>
      <c r="O15" s="46" t="s">
        <v>33</v>
      </c>
      <c r="P15" s="43"/>
      <c r="Q15" s="47">
        <v>1</v>
      </c>
      <c r="R15" s="85">
        <f t="shared" si="1"/>
        <v>0.75</v>
      </c>
    </row>
    <row r="16" spans="1:19" ht="21.95" customHeight="1">
      <c r="A16" s="244"/>
      <c r="B16" s="66"/>
      <c r="C16" s="49"/>
      <c r="D16" s="50"/>
      <c r="E16" s="51"/>
      <c r="F16" s="52"/>
      <c r="G16" s="70"/>
      <c r="H16" s="74"/>
      <c r="I16" s="50"/>
      <c r="J16" s="52"/>
      <c r="K16" s="52"/>
      <c r="L16" s="52"/>
      <c r="M16" s="78"/>
      <c r="N16" s="66"/>
      <c r="O16" s="53"/>
      <c r="P16" s="50"/>
      <c r="Q16" s="54"/>
      <c r="R16" s="86"/>
    </row>
    <row r="17" spans="1:18" ht="21.95" customHeight="1">
      <c r="A17" s="244"/>
      <c r="B17" s="65" t="s">
        <v>112</v>
      </c>
      <c r="C17" s="42" t="s">
        <v>61</v>
      </c>
      <c r="D17" s="43"/>
      <c r="E17" s="44">
        <v>30</v>
      </c>
      <c r="F17" s="45" t="s">
        <v>16</v>
      </c>
      <c r="G17" s="69"/>
      <c r="H17" s="73" t="s">
        <v>61</v>
      </c>
      <c r="I17" s="43"/>
      <c r="J17" s="45">
        <f>ROUNDUP(E17*0.75,2)</f>
        <v>22.5</v>
      </c>
      <c r="K17" s="45" t="s">
        <v>16</v>
      </c>
      <c r="L17" s="45"/>
      <c r="M17" s="77" t="e">
        <f>ROUND(#REF!+(#REF!*10/100),2)</f>
        <v>#REF!</v>
      </c>
      <c r="N17" s="65" t="s">
        <v>113</v>
      </c>
      <c r="O17" s="46" t="s">
        <v>33</v>
      </c>
      <c r="P17" s="43"/>
      <c r="Q17" s="47">
        <v>1</v>
      </c>
      <c r="R17" s="85">
        <f>ROUNDUP(Q17*0.75,2)</f>
        <v>0.75</v>
      </c>
    </row>
    <row r="18" spans="1:18" ht="21.95" customHeight="1">
      <c r="A18" s="244"/>
      <c r="B18" s="65"/>
      <c r="C18" s="42" t="s">
        <v>20</v>
      </c>
      <c r="D18" s="43"/>
      <c r="E18" s="44">
        <v>10</v>
      </c>
      <c r="F18" s="45" t="s">
        <v>16</v>
      </c>
      <c r="G18" s="69"/>
      <c r="H18" s="73" t="s">
        <v>20</v>
      </c>
      <c r="I18" s="43"/>
      <c r="J18" s="45">
        <f>ROUNDUP(E18*0.75,2)</f>
        <v>7.5</v>
      </c>
      <c r="K18" s="45" t="s">
        <v>16</v>
      </c>
      <c r="L18" s="45"/>
      <c r="M18" s="77" t="e">
        <f>ROUND(#REF!+(#REF!*3/100),2)</f>
        <v>#REF!</v>
      </c>
      <c r="N18" s="65" t="s">
        <v>114</v>
      </c>
      <c r="O18" s="46" t="s">
        <v>27</v>
      </c>
      <c r="P18" s="43" t="s">
        <v>15</v>
      </c>
      <c r="Q18" s="47">
        <v>1</v>
      </c>
      <c r="R18" s="85">
        <f>ROUNDUP(Q18*0.75,2)</f>
        <v>0.75</v>
      </c>
    </row>
    <row r="19" spans="1:18" ht="21.95" customHeight="1">
      <c r="A19" s="244"/>
      <c r="B19" s="65"/>
      <c r="C19" s="42"/>
      <c r="D19" s="43"/>
      <c r="E19" s="44"/>
      <c r="F19" s="45"/>
      <c r="G19" s="69"/>
      <c r="H19" s="73"/>
      <c r="I19" s="43"/>
      <c r="J19" s="45"/>
      <c r="K19" s="45"/>
      <c r="L19" s="45"/>
      <c r="M19" s="77"/>
      <c r="N19" s="65" t="s">
        <v>13</v>
      </c>
      <c r="O19" s="46" t="s">
        <v>91</v>
      </c>
      <c r="P19" s="43"/>
      <c r="Q19" s="47">
        <v>1</v>
      </c>
      <c r="R19" s="85">
        <f>ROUNDUP(Q19*0.75,2)</f>
        <v>0.75</v>
      </c>
    </row>
    <row r="20" spans="1:18" ht="21.95" customHeight="1">
      <c r="A20" s="244"/>
      <c r="B20" s="65"/>
      <c r="C20" s="42"/>
      <c r="D20" s="43"/>
      <c r="E20" s="44"/>
      <c r="F20" s="45"/>
      <c r="G20" s="69"/>
      <c r="H20" s="73"/>
      <c r="I20" s="43"/>
      <c r="J20" s="45"/>
      <c r="K20" s="45"/>
      <c r="L20" s="45"/>
      <c r="M20" s="77"/>
      <c r="N20" s="65"/>
      <c r="O20" s="46" t="s">
        <v>32</v>
      </c>
      <c r="P20" s="43"/>
      <c r="Q20" s="47">
        <v>2</v>
      </c>
      <c r="R20" s="85">
        <f>ROUNDUP(Q20*0.75,2)</f>
        <v>1.5</v>
      </c>
    </row>
    <row r="21" spans="1:18" ht="21.95" customHeight="1">
      <c r="A21" s="244"/>
      <c r="B21" s="66"/>
      <c r="C21" s="49"/>
      <c r="D21" s="50"/>
      <c r="E21" s="51"/>
      <c r="F21" s="52"/>
      <c r="G21" s="70"/>
      <c r="H21" s="74"/>
      <c r="I21" s="50"/>
      <c r="J21" s="52"/>
      <c r="K21" s="52"/>
      <c r="L21" s="52"/>
      <c r="M21" s="78"/>
      <c r="N21" s="66"/>
      <c r="O21" s="53"/>
      <c r="P21" s="50"/>
      <c r="Q21" s="54"/>
      <c r="R21" s="86"/>
    </row>
    <row r="22" spans="1:18" ht="21.95" customHeight="1">
      <c r="A22" s="244"/>
      <c r="B22" s="65" t="s">
        <v>92</v>
      </c>
      <c r="C22" s="42" t="s">
        <v>21</v>
      </c>
      <c r="D22" s="43" t="s">
        <v>22</v>
      </c>
      <c r="E22" s="62">
        <v>0.125</v>
      </c>
      <c r="F22" s="45" t="s">
        <v>23</v>
      </c>
      <c r="G22" s="69"/>
      <c r="H22" s="73" t="s">
        <v>21</v>
      </c>
      <c r="I22" s="43" t="s">
        <v>22</v>
      </c>
      <c r="J22" s="45">
        <f>ROUNDUP(E22*0.75,2)</f>
        <v>9.9999999999999992E-2</v>
      </c>
      <c r="K22" s="45" t="s">
        <v>23</v>
      </c>
      <c r="L22" s="45"/>
      <c r="M22" s="77" t="e">
        <f>#REF!</f>
        <v>#REF!</v>
      </c>
      <c r="N22" s="65" t="s">
        <v>13</v>
      </c>
      <c r="O22" s="46" t="s">
        <v>24</v>
      </c>
      <c r="P22" s="43"/>
      <c r="Q22" s="47">
        <v>100</v>
      </c>
      <c r="R22" s="85">
        <f>ROUNDUP(Q22*0.75,2)</f>
        <v>75</v>
      </c>
    </row>
    <row r="23" spans="1:18" ht="21.95" customHeight="1">
      <c r="A23" s="244"/>
      <c r="B23" s="65"/>
      <c r="C23" s="42" t="s">
        <v>65</v>
      </c>
      <c r="D23" s="43" t="s">
        <v>15</v>
      </c>
      <c r="E23" s="63">
        <v>0.1</v>
      </c>
      <c r="F23" s="45" t="s">
        <v>63</v>
      </c>
      <c r="G23" s="69"/>
      <c r="H23" s="73" t="s">
        <v>65</v>
      </c>
      <c r="I23" s="43" t="s">
        <v>15</v>
      </c>
      <c r="J23" s="45">
        <f>ROUNDUP(E23*0.75,2)</f>
        <v>0.08</v>
      </c>
      <c r="K23" s="45" t="s">
        <v>63</v>
      </c>
      <c r="L23" s="45"/>
      <c r="M23" s="77"/>
      <c r="N23" s="65"/>
      <c r="O23" s="46" t="s">
        <v>94</v>
      </c>
      <c r="P23" s="43"/>
      <c r="Q23" s="47">
        <v>3</v>
      </c>
      <c r="R23" s="85">
        <f>ROUNDUP(Q23*0.75,2)</f>
        <v>2.25</v>
      </c>
    </row>
    <row r="24" spans="1:18" ht="21.95" customHeight="1" thickBot="1">
      <c r="A24" s="245"/>
      <c r="B24" s="67"/>
      <c r="C24" s="56"/>
      <c r="D24" s="57"/>
      <c r="E24" s="58"/>
      <c r="F24" s="59"/>
      <c r="G24" s="71"/>
      <c r="H24" s="75"/>
      <c r="I24" s="57"/>
      <c r="J24" s="59"/>
      <c r="K24" s="59"/>
      <c r="L24" s="59"/>
      <c r="M24" s="79"/>
      <c r="N24" s="67"/>
      <c r="O24" s="60"/>
      <c r="P24" s="57"/>
      <c r="Q24" s="61"/>
      <c r="R24" s="87"/>
    </row>
    <row r="25" spans="1:18" ht="21.95" customHeight="1"/>
  </sheetData>
  <mergeCells count="4">
    <mergeCell ref="H1:N1"/>
    <mergeCell ref="A2:R2"/>
    <mergeCell ref="A3:F3"/>
    <mergeCell ref="A5:A24"/>
  </mergeCells>
  <phoneticPr fontId="17"/>
  <printOptions horizontalCentered="1" verticalCentered="1"/>
  <pageMargins left="0.39370078740157483" right="0.39370078740157483" top="0.39370078740157483" bottom="0.39370078740157483" header="0.39370078740157483" footer="0.39370078740157483"/>
  <pageSetup paperSize="12" scale="5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5"/>
  <sheetViews>
    <sheetView showZeros="0" zoomScale="60" zoomScaleNormal="60" zoomScaleSheetLayoutView="80" workbookViewId="0"/>
  </sheetViews>
  <sheetFormatPr defaultRowHeight="18.75" customHeight="1"/>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c r="A1" s="1" t="s">
        <v>12</v>
      </c>
      <c r="B1" s="1"/>
      <c r="C1" s="2"/>
      <c r="D1" s="3"/>
      <c r="E1" s="2"/>
      <c r="F1" s="2"/>
      <c r="G1" s="2"/>
      <c r="H1" s="239"/>
      <c r="I1" s="239"/>
      <c r="J1" s="240"/>
      <c r="K1" s="240"/>
      <c r="L1" s="240"/>
      <c r="M1" s="240"/>
      <c r="N1" s="240"/>
      <c r="O1" s="2"/>
      <c r="P1" s="2"/>
      <c r="Q1" s="4"/>
      <c r="R1" s="4"/>
      <c r="S1" s="3"/>
    </row>
    <row r="2" spans="1:19" ht="36.75" customHeight="1">
      <c r="A2" s="239" t="s">
        <v>0</v>
      </c>
      <c r="B2" s="239"/>
      <c r="C2" s="240"/>
      <c r="D2" s="240"/>
      <c r="E2" s="240"/>
      <c r="F2" s="240"/>
      <c r="G2" s="240"/>
      <c r="H2" s="240"/>
      <c r="I2" s="240"/>
      <c r="J2" s="240"/>
      <c r="K2" s="240"/>
      <c r="L2" s="240"/>
      <c r="M2" s="240"/>
      <c r="N2" s="240"/>
      <c r="O2" s="240"/>
      <c r="P2" s="240"/>
      <c r="Q2" s="240"/>
      <c r="R2" s="240"/>
      <c r="S2" s="3"/>
    </row>
    <row r="3" spans="1:19" ht="27.75" customHeight="1" thickBot="1">
      <c r="A3" s="241" t="s">
        <v>125</v>
      </c>
      <c r="B3" s="242"/>
      <c r="C3" s="242"/>
      <c r="D3" s="242"/>
      <c r="E3" s="242"/>
      <c r="F3" s="242"/>
      <c r="G3" s="2"/>
      <c r="H3" s="2"/>
      <c r="I3" s="12"/>
      <c r="J3" s="2"/>
      <c r="K3" s="7"/>
      <c r="L3" s="7"/>
      <c r="M3" s="10"/>
      <c r="N3" s="2"/>
      <c r="O3" s="13"/>
      <c r="P3" s="12"/>
      <c r="Q3" s="14"/>
      <c r="R3" s="14"/>
      <c r="S3" s="11"/>
    </row>
    <row r="4" spans="1:19" customFormat="1" ht="42" customHeight="1" thickBot="1">
      <c r="A4" s="15"/>
      <c r="B4" s="16" t="s">
        <v>1</v>
      </c>
      <c r="C4" s="17" t="s">
        <v>2</v>
      </c>
      <c r="D4" s="18" t="s">
        <v>281</v>
      </c>
      <c r="E4" s="34" t="s">
        <v>6</v>
      </c>
      <c r="F4" s="19" t="s">
        <v>4</v>
      </c>
      <c r="G4" s="17" t="s">
        <v>5</v>
      </c>
      <c r="H4" s="16" t="s">
        <v>2</v>
      </c>
      <c r="I4" s="18" t="s">
        <v>281</v>
      </c>
      <c r="J4" s="35" t="s">
        <v>3</v>
      </c>
      <c r="K4" s="19" t="s">
        <v>4</v>
      </c>
      <c r="L4" s="19" t="s">
        <v>5</v>
      </c>
      <c r="M4" s="21" t="s">
        <v>7</v>
      </c>
      <c r="N4" s="22" t="s">
        <v>8</v>
      </c>
      <c r="O4" s="19" t="s">
        <v>9</v>
      </c>
      <c r="P4" s="23" t="s">
        <v>281</v>
      </c>
      <c r="Q4" s="20" t="s">
        <v>11</v>
      </c>
      <c r="R4" s="24" t="s">
        <v>10</v>
      </c>
      <c r="S4" s="25"/>
    </row>
    <row r="5" spans="1:19" ht="21.95" customHeight="1">
      <c r="A5" s="243" t="s">
        <v>37</v>
      </c>
      <c r="B5" s="64" t="s">
        <v>53</v>
      </c>
      <c r="C5" s="36"/>
      <c r="D5" s="37"/>
      <c r="E5" s="38"/>
      <c r="F5" s="39"/>
      <c r="G5" s="68"/>
      <c r="H5" s="72"/>
      <c r="I5" s="37"/>
      <c r="J5" s="39"/>
      <c r="K5" s="39"/>
      <c r="L5" s="39"/>
      <c r="M5" s="76"/>
      <c r="N5" s="64"/>
      <c r="O5" s="40" t="s">
        <v>53</v>
      </c>
      <c r="P5" s="37"/>
      <c r="Q5" s="41">
        <v>110</v>
      </c>
      <c r="R5" s="84">
        <f>ROUNDUP(Q5*0.75,2)</f>
        <v>82.5</v>
      </c>
    </row>
    <row r="6" spans="1:19" ht="21.95" customHeight="1">
      <c r="A6" s="244"/>
      <c r="B6" s="66"/>
      <c r="C6" s="49"/>
      <c r="D6" s="50"/>
      <c r="E6" s="51"/>
      <c r="F6" s="52"/>
      <c r="G6" s="70"/>
      <c r="H6" s="74"/>
      <c r="I6" s="50"/>
      <c r="J6" s="52"/>
      <c r="K6" s="52"/>
      <c r="L6" s="52"/>
      <c r="M6" s="78"/>
      <c r="N6" s="66"/>
      <c r="O6" s="53"/>
      <c r="P6" s="50"/>
      <c r="Q6" s="54"/>
      <c r="R6" s="86"/>
    </row>
    <row r="7" spans="1:19" ht="21.95" customHeight="1">
      <c r="A7" s="244"/>
      <c r="B7" s="65" t="s">
        <v>126</v>
      </c>
      <c r="C7" s="42" t="s">
        <v>130</v>
      </c>
      <c r="D7" s="43"/>
      <c r="E7" s="44">
        <v>1</v>
      </c>
      <c r="F7" s="45" t="s">
        <v>119</v>
      </c>
      <c r="G7" s="69" t="s">
        <v>131</v>
      </c>
      <c r="H7" s="73" t="s">
        <v>130</v>
      </c>
      <c r="I7" s="43"/>
      <c r="J7" s="45">
        <f>ROUNDUP(E7*0.75,2)</f>
        <v>0.75</v>
      </c>
      <c r="K7" s="45" t="s">
        <v>119</v>
      </c>
      <c r="L7" s="45" t="s">
        <v>131</v>
      </c>
      <c r="M7" s="77" t="e">
        <f>#REF!</f>
        <v>#REF!</v>
      </c>
      <c r="N7" s="65" t="s">
        <v>127</v>
      </c>
      <c r="O7" s="46" t="s">
        <v>32</v>
      </c>
      <c r="P7" s="43"/>
      <c r="Q7" s="47">
        <v>2</v>
      </c>
      <c r="R7" s="85">
        <f t="shared" ref="R7:R12" si="0">ROUNDUP(Q7*0.75,2)</f>
        <v>1.5</v>
      </c>
    </row>
    <row r="8" spans="1:19" ht="21.95" customHeight="1">
      <c r="A8" s="244"/>
      <c r="B8" s="65"/>
      <c r="C8" s="42" t="s">
        <v>132</v>
      </c>
      <c r="D8" s="43"/>
      <c r="E8" s="44">
        <v>20</v>
      </c>
      <c r="F8" s="45" t="s">
        <v>16</v>
      </c>
      <c r="G8" s="69"/>
      <c r="H8" s="73" t="s">
        <v>132</v>
      </c>
      <c r="I8" s="43"/>
      <c r="J8" s="45">
        <f>ROUNDUP(E8*0.75,2)</f>
        <v>15</v>
      </c>
      <c r="K8" s="45" t="s">
        <v>16</v>
      </c>
      <c r="L8" s="45"/>
      <c r="M8" s="77" t="e">
        <f>ROUND(#REF!+(#REF!*15/100),2)</f>
        <v>#REF!</v>
      </c>
      <c r="N8" s="65" t="s">
        <v>128</v>
      </c>
      <c r="O8" s="46" t="s">
        <v>27</v>
      </c>
      <c r="P8" s="43" t="s">
        <v>15</v>
      </c>
      <c r="Q8" s="47">
        <v>1</v>
      </c>
      <c r="R8" s="85">
        <f t="shared" si="0"/>
        <v>0.75</v>
      </c>
    </row>
    <row r="9" spans="1:19" ht="21.95" customHeight="1">
      <c r="A9" s="244"/>
      <c r="B9" s="65"/>
      <c r="C9" s="42" t="s">
        <v>133</v>
      </c>
      <c r="D9" s="43"/>
      <c r="E9" s="44">
        <v>1</v>
      </c>
      <c r="F9" s="45" t="s">
        <v>16</v>
      </c>
      <c r="G9" s="69" t="s">
        <v>31</v>
      </c>
      <c r="H9" s="73" t="s">
        <v>133</v>
      </c>
      <c r="I9" s="43"/>
      <c r="J9" s="45">
        <f>ROUNDUP(E9*0.75,2)</f>
        <v>0.75</v>
      </c>
      <c r="K9" s="45" t="s">
        <v>16</v>
      </c>
      <c r="L9" s="45" t="s">
        <v>31</v>
      </c>
      <c r="M9" s="77" t="e">
        <f>#REF!</f>
        <v>#REF!</v>
      </c>
      <c r="N9" s="65" t="s">
        <v>129</v>
      </c>
      <c r="O9" s="46" t="s">
        <v>25</v>
      </c>
      <c r="P9" s="43"/>
      <c r="Q9" s="47">
        <v>2</v>
      </c>
      <c r="R9" s="85">
        <f t="shared" si="0"/>
        <v>1.5</v>
      </c>
    </row>
    <row r="10" spans="1:19" ht="21.95" customHeight="1">
      <c r="A10" s="244"/>
      <c r="B10" s="65"/>
      <c r="C10" s="42"/>
      <c r="D10" s="43"/>
      <c r="E10" s="44"/>
      <c r="F10" s="45"/>
      <c r="G10" s="69"/>
      <c r="H10" s="73"/>
      <c r="I10" s="43"/>
      <c r="J10" s="45"/>
      <c r="K10" s="45"/>
      <c r="L10" s="45"/>
      <c r="M10" s="77"/>
      <c r="N10" s="65" t="s">
        <v>13</v>
      </c>
      <c r="O10" s="46" t="s">
        <v>60</v>
      </c>
      <c r="P10" s="43"/>
      <c r="Q10" s="47">
        <v>0.5</v>
      </c>
      <c r="R10" s="85">
        <f t="shared" si="0"/>
        <v>0.38</v>
      </c>
    </row>
    <row r="11" spans="1:19" ht="21.95" customHeight="1">
      <c r="A11" s="244"/>
      <c r="B11" s="65"/>
      <c r="C11" s="42"/>
      <c r="D11" s="43"/>
      <c r="E11" s="44"/>
      <c r="F11" s="45"/>
      <c r="G11" s="69"/>
      <c r="H11" s="73"/>
      <c r="I11" s="43"/>
      <c r="J11" s="45"/>
      <c r="K11" s="45"/>
      <c r="L11" s="45"/>
      <c r="M11" s="77"/>
      <c r="N11" s="65"/>
      <c r="O11" s="46" t="s">
        <v>27</v>
      </c>
      <c r="P11" s="43" t="s">
        <v>15</v>
      </c>
      <c r="Q11" s="47">
        <v>0.5</v>
      </c>
      <c r="R11" s="85">
        <f t="shared" si="0"/>
        <v>0.38</v>
      </c>
    </row>
    <row r="12" spans="1:19" ht="21.95" customHeight="1">
      <c r="A12" s="244"/>
      <c r="B12" s="65"/>
      <c r="C12" s="42"/>
      <c r="D12" s="43"/>
      <c r="E12" s="44"/>
      <c r="F12" s="45"/>
      <c r="G12" s="69"/>
      <c r="H12" s="73"/>
      <c r="I12" s="43"/>
      <c r="J12" s="45"/>
      <c r="K12" s="45"/>
      <c r="L12" s="45"/>
      <c r="M12" s="77"/>
      <c r="N12" s="65"/>
      <c r="O12" s="46" t="s">
        <v>24</v>
      </c>
      <c r="P12" s="43"/>
      <c r="Q12" s="47">
        <v>1</v>
      </c>
      <c r="R12" s="85">
        <f t="shared" si="0"/>
        <v>0.75</v>
      </c>
    </row>
    <row r="13" spans="1:19" ht="21.95" customHeight="1">
      <c r="A13" s="244"/>
      <c r="B13" s="66"/>
      <c r="C13" s="49"/>
      <c r="D13" s="50"/>
      <c r="E13" s="51"/>
      <c r="F13" s="52"/>
      <c r="G13" s="70"/>
      <c r="H13" s="74"/>
      <c r="I13" s="50"/>
      <c r="J13" s="52"/>
      <c r="K13" s="52"/>
      <c r="L13" s="52"/>
      <c r="M13" s="78"/>
      <c r="N13" s="66"/>
      <c r="O13" s="53"/>
      <c r="P13" s="50"/>
      <c r="Q13" s="54"/>
      <c r="R13" s="86"/>
    </row>
    <row r="14" spans="1:19" ht="21.95" customHeight="1">
      <c r="A14" s="244"/>
      <c r="B14" s="65" t="s">
        <v>134</v>
      </c>
      <c r="C14" s="42" t="s">
        <v>115</v>
      </c>
      <c r="D14" s="43"/>
      <c r="E14" s="81">
        <v>0.25</v>
      </c>
      <c r="F14" s="45" t="s">
        <v>116</v>
      </c>
      <c r="G14" s="69" t="s">
        <v>14</v>
      </c>
      <c r="H14" s="73" t="s">
        <v>115</v>
      </c>
      <c r="I14" s="43"/>
      <c r="J14" s="45">
        <f>ROUNDUP(E14*0.75,2)</f>
        <v>0.19</v>
      </c>
      <c r="K14" s="45" t="s">
        <v>116</v>
      </c>
      <c r="L14" s="45" t="s">
        <v>14</v>
      </c>
      <c r="M14" s="77" t="e">
        <f>#REF!</f>
        <v>#REF!</v>
      </c>
      <c r="N14" s="65" t="s">
        <v>255</v>
      </c>
      <c r="O14" s="46" t="s">
        <v>60</v>
      </c>
      <c r="P14" s="43"/>
      <c r="Q14" s="47">
        <v>0.5</v>
      </c>
      <c r="R14" s="85">
        <f>ROUNDUP(Q14*0.75,2)</f>
        <v>0.38</v>
      </c>
    </row>
    <row r="15" spans="1:19" ht="21.95" customHeight="1">
      <c r="A15" s="244"/>
      <c r="B15" s="65"/>
      <c r="C15" s="42" t="s">
        <v>59</v>
      </c>
      <c r="D15" s="43"/>
      <c r="E15" s="44">
        <v>10</v>
      </c>
      <c r="F15" s="45" t="s">
        <v>16</v>
      </c>
      <c r="G15" s="69" t="s">
        <v>18</v>
      </c>
      <c r="H15" s="73" t="s">
        <v>59</v>
      </c>
      <c r="I15" s="43"/>
      <c r="J15" s="45">
        <f>ROUNDUP(E15*0.75,2)</f>
        <v>7.5</v>
      </c>
      <c r="K15" s="45" t="s">
        <v>16</v>
      </c>
      <c r="L15" s="45" t="s">
        <v>18</v>
      </c>
      <c r="M15" s="77" t="e">
        <f>#REF!</f>
        <v>#REF!</v>
      </c>
      <c r="N15" s="65" t="s">
        <v>256</v>
      </c>
      <c r="O15" s="46" t="s">
        <v>121</v>
      </c>
      <c r="P15" s="43"/>
      <c r="Q15" s="47">
        <v>1</v>
      </c>
      <c r="R15" s="85">
        <f>ROUNDUP(Q15*0.75,2)</f>
        <v>0.75</v>
      </c>
    </row>
    <row r="16" spans="1:19" ht="21.95" customHeight="1">
      <c r="A16" s="244"/>
      <c r="B16" s="65"/>
      <c r="C16" s="42" t="s">
        <v>66</v>
      </c>
      <c r="D16" s="43"/>
      <c r="E16" s="44">
        <v>5</v>
      </c>
      <c r="F16" s="45" t="s">
        <v>16</v>
      </c>
      <c r="G16" s="69"/>
      <c r="H16" s="73" t="s">
        <v>66</v>
      </c>
      <c r="I16" s="43"/>
      <c r="J16" s="45">
        <f>ROUNDUP(E16*0.75,2)</f>
        <v>3.75</v>
      </c>
      <c r="K16" s="45" t="s">
        <v>16</v>
      </c>
      <c r="L16" s="45"/>
      <c r="M16" s="77" t="e">
        <f>ROUND(#REF!+(#REF!*40/100),2)</f>
        <v>#REF!</v>
      </c>
      <c r="N16" s="65" t="s">
        <v>257</v>
      </c>
      <c r="O16" s="46" t="s">
        <v>24</v>
      </c>
      <c r="P16" s="43"/>
      <c r="Q16" s="47">
        <v>30</v>
      </c>
      <c r="R16" s="85">
        <f>ROUNDUP(Q16*0.75,2)</f>
        <v>22.5</v>
      </c>
    </row>
    <row r="17" spans="1:18" ht="21.95" customHeight="1">
      <c r="A17" s="244"/>
      <c r="B17" s="65"/>
      <c r="C17" s="42" t="s">
        <v>20</v>
      </c>
      <c r="D17" s="43"/>
      <c r="E17" s="44">
        <v>10</v>
      </c>
      <c r="F17" s="45" t="s">
        <v>16</v>
      </c>
      <c r="G17" s="69"/>
      <c r="H17" s="73" t="s">
        <v>20</v>
      </c>
      <c r="I17" s="43"/>
      <c r="J17" s="45">
        <f>ROUNDUP(E17*0.75,2)</f>
        <v>7.5</v>
      </c>
      <c r="K17" s="45" t="s">
        <v>16</v>
      </c>
      <c r="L17" s="45"/>
      <c r="M17" s="77" t="e">
        <f>ROUND(#REF!+(#REF!*3/100),2)</f>
        <v>#REF!</v>
      </c>
      <c r="N17" s="65" t="s">
        <v>29</v>
      </c>
      <c r="O17" s="46" t="s">
        <v>25</v>
      </c>
      <c r="P17" s="43"/>
      <c r="Q17" s="47">
        <v>3</v>
      </c>
      <c r="R17" s="85">
        <f>ROUNDUP(Q17*0.75,2)</f>
        <v>2.25</v>
      </c>
    </row>
    <row r="18" spans="1:18" ht="21.95" customHeight="1">
      <c r="A18" s="244"/>
      <c r="B18" s="65"/>
      <c r="C18" s="42" t="s">
        <v>135</v>
      </c>
      <c r="D18" s="43"/>
      <c r="E18" s="44">
        <v>5</v>
      </c>
      <c r="F18" s="45" t="s">
        <v>16</v>
      </c>
      <c r="G18" s="69" t="s">
        <v>58</v>
      </c>
      <c r="H18" s="73" t="s">
        <v>135</v>
      </c>
      <c r="I18" s="43"/>
      <c r="J18" s="45">
        <f>ROUNDUP(E18*0.75,2)</f>
        <v>3.75</v>
      </c>
      <c r="K18" s="45" t="s">
        <v>16</v>
      </c>
      <c r="L18" s="45" t="s">
        <v>58</v>
      </c>
      <c r="M18" s="77" t="e">
        <f>#REF!</f>
        <v>#REF!</v>
      </c>
      <c r="N18" s="65"/>
      <c r="O18" s="46" t="s">
        <v>27</v>
      </c>
      <c r="P18" s="43" t="s">
        <v>15</v>
      </c>
      <c r="Q18" s="47">
        <v>1.5</v>
      </c>
      <c r="R18" s="85">
        <f>ROUNDUP(Q18*0.75,2)</f>
        <v>1.1300000000000001</v>
      </c>
    </row>
    <row r="19" spans="1:18" ht="21.95" customHeight="1">
      <c r="A19" s="244"/>
      <c r="B19" s="66"/>
      <c r="C19" s="49"/>
      <c r="D19" s="50"/>
      <c r="E19" s="51"/>
      <c r="F19" s="52"/>
      <c r="G19" s="70"/>
      <c r="H19" s="74"/>
      <c r="I19" s="50"/>
      <c r="J19" s="52"/>
      <c r="K19" s="52"/>
      <c r="L19" s="52"/>
      <c r="M19" s="78"/>
      <c r="N19" s="66"/>
      <c r="O19" s="53"/>
      <c r="P19" s="50"/>
      <c r="Q19" s="54"/>
      <c r="R19" s="86"/>
    </row>
    <row r="20" spans="1:18" ht="21.95" customHeight="1">
      <c r="A20" s="244"/>
      <c r="B20" s="65" t="s">
        <v>92</v>
      </c>
      <c r="C20" s="42" t="s">
        <v>136</v>
      </c>
      <c r="D20" s="43"/>
      <c r="E20" s="44">
        <v>20</v>
      </c>
      <c r="F20" s="45" t="s">
        <v>16</v>
      </c>
      <c r="G20" s="69"/>
      <c r="H20" s="73" t="s">
        <v>136</v>
      </c>
      <c r="I20" s="43"/>
      <c r="J20" s="45">
        <f>ROUNDUP(E20*0.75,2)</f>
        <v>15</v>
      </c>
      <c r="K20" s="45" t="s">
        <v>16</v>
      </c>
      <c r="L20" s="45"/>
      <c r="M20" s="77" t="e">
        <f>ROUND(#REF!+(#REF!*10/100),2)</f>
        <v>#REF!</v>
      </c>
      <c r="N20" s="65" t="s">
        <v>13</v>
      </c>
      <c r="O20" s="46" t="s">
        <v>24</v>
      </c>
      <c r="P20" s="43"/>
      <c r="Q20" s="47">
        <v>100</v>
      </c>
      <c r="R20" s="85">
        <f>ROUNDUP(Q20*0.75,2)</f>
        <v>75</v>
      </c>
    </row>
    <row r="21" spans="1:18" ht="21.95" customHeight="1">
      <c r="A21" s="244"/>
      <c r="B21" s="65"/>
      <c r="C21" s="42" t="s">
        <v>80</v>
      </c>
      <c r="D21" s="43"/>
      <c r="E21" s="44">
        <v>0.5</v>
      </c>
      <c r="F21" s="45" t="s">
        <v>16</v>
      </c>
      <c r="G21" s="69" t="s">
        <v>81</v>
      </c>
      <c r="H21" s="73" t="s">
        <v>80</v>
      </c>
      <c r="I21" s="43"/>
      <c r="J21" s="45">
        <f>ROUNDUP(E21*0.75,2)</f>
        <v>0.38</v>
      </c>
      <c r="K21" s="45" t="s">
        <v>16</v>
      </c>
      <c r="L21" s="45" t="s">
        <v>81</v>
      </c>
      <c r="M21" s="77" t="e">
        <f>#REF!</f>
        <v>#REF!</v>
      </c>
      <c r="N21" s="65"/>
      <c r="O21" s="46" t="s">
        <v>94</v>
      </c>
      <c r="P21" s="43"/>
      <c r="Q21" s="47">
        <v>3</v>
      </c>
      <c r="R21" s="85">
        <f>ROUNDUP(Q21*0.75,2)</f>
        <v>2.25</v>
      </c>
    </row>
    <row r="22" spans="1:18" ht="21.95" customHeight="1">
      <c r="A22" s="244"/>
      <c r="B22" s="66"/>
      <c r="C22" s="49"/>
      <c r="D22" s="50"/>
      <c r="E22" s="51"/>
      <c r="F22" s="52"/>
      <c r="G22" s="70"/>
      <c r="H22" s="74"/>
      <c r="I22" s="50"/>
      <c r="J22" s="52"/>
      <c r="K22" s="52"/>
      <c r="L22" s="52"/>
      <c r="M22" s="78"/>
      <c r="N22" s="66"/>
      <c r="O22" s="53"/>
      <c r="P22" s="50"/>
      <c r="Q22" s="54"/>
      <c r="R22" s="86"/>
    </row>
    <row r="23" spans="1:18" ht="21.95" customHeight="1">
      <c r="A23" s="244"/>
      <c r="B23" s="65" t="s">
        <v>137</v>
      </c>
      <c r="C23" s="42" t="s">
        <v>138</v>
      </c>
      <c r="D23" s="43"/>
      <c r="E23" s="81">
        <v>0.25</v>
      </c>
      <c r="F23" s="45" t="s">
        <v>23</v>
      </c>
      <c r="G23" s="69"/>
      <c r="H23" s="73" t="s">
        <v>138</v>
      </c>
      <c r="I23" s="43"/>
      <c r="J23" s="45">
        <f>ROUNDUP(E23*0.75,2)</f>
        <v>0.19</v>
      </c>
      <c r="K23" s="45" t="s">
        <v>23</v>
      </c>
      <c r="L23" s="45"/>
      <c r="M23" s="77" t="e">
        <f>#REF!</f>
        <v>#REF!</v>
      </c>
      <c r="N23" s="65" t="s">
        <v>35</v>
      </c>
      <c r="O23" s="46"/>
      <c r="P23" s="43"/>
      <c r="Q23" s="47"/>
      <c r="R23" s="85"/>
    </row>
    <row r="24" spans="1:18" ht="21.95" customHeight="1" thickBot="1">
      <c r="A24" s="245"/>
      <c r="B24" s="67"/>
      <c r="C24" s="56"/>
      <c r="D24" s="57"/>
      <c r="E24" s="58"/>
      <c r="F24" s="59"/>
      <c r="G24" s="71"/>
      <c r="H24" s="75"/>
      <c r="I24" s="57"/>
      <c r="J24" s="59"/>
      <c r="K24" s="59"/>
      <c r="L24" s="59"/>
      <c r="M24" s="79"/>
      <c r="N24" s="67"/>
      <c r="O24" s="60"/>
      <c r="P24" s="57"/>
      <c r="Q24" s="61"/>
      <c r="R24" s="87"/>
    </row>
    <row r="25" spans="1:18" ht="21.95" customHeight="1"/>
  </sheetData>
  <mergeCells count="4">
    <mergeCell ref="H1:N1"/>
    <mergeCell ref="A2:R2"/>
    <mergeCell ref="A3:F3"/>
    <mergeCell ref="A5:A24"/>
  </mergeCells>
  <phoneticPr fontId="17"/>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5"/>
  <sheetViews>
    <sheetView showZeros="0" zoomScale="60" zoomScaleNormal="60" zoomScaleSheetLayoutView="80" workbookViewId="0"/>
  </sheetViews>
  <sheetFormatPr defaultRowHeight="18.75" customHeight="1"/>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c r="A1" s="1" t="s">
        <v>12</v>
      </c>
      <c r="B1" s="1"/>
      <c r="C1" s="2"/>
      <c r="D1" s="3"/>
      <c r="E1" s="2"/>
      <c r="F1" s="2"/>
      <c r="G1" s="2"/>
      <c r="H1" s="239"/>
      <c r="I1" s="239"/>
      <c r="J1" s="240"/>
      <c r="K1" s="240"/>
      <c r="L1" s="240"/>
      <c r="M1" s="240"/>
      <c r="N1" s="240"/>
      <c r="O1" s="2"/>
      <c r="P1" s="2"/>
      <c r="Q1" s="4"/>
      <c r="R1" s="4"/>
      <c r="S1" s="3"/>
    </row>
    <row r="2" spans="1:19" ht="36.75" customHeight="1">
      <c r="A2" s="239" t="s">
        <v>0</v>
      </c>
      <c r="B2" s="239"/>
      <c r="C2" s="240"/>
      <c r="D2" s="240"/>
      <c r="E2" s="240"/>
      <c r="F2" s="240"/>
      <c r="G2" s="240"/>
      <c r="H2" s="240"/>
      <c r="I2" s="240"/>
      <c r="J2" s="240"/>
      <c r="K2" s="240"/>
      <c r="L2" s="240"/>
      <c r="M2" s="240"/>
      <c r="N2" s="240"/>
      <c r="O2" s="240"/>
      <c r="P2" s="240"/>
      <c r="Q2" s="240"/>
      <c r="R2" s="240"/>
      <c r="S2" s="3"/>
    </row>
    <row r="3" spans="1:19" ht="27.75" customHeight="1" thickBot="1">
      <c r="A3" s="241" t="s">
        <v>144</v>
      </c>
      <c r="B3" s="242"/>
      <c r="C3" s="242"/>
      <c r="D3" s="242"/>
      <c r="E3" s="242"/>
      <c r="F3" s="242"/>
      <c r="G3" s="2"/>
      <c r="H3" s="2"/>
      <c r="I3" s="12"/>
      <c r="J3" s="2"/>
      <c r="K3" s="7"/>
      <c r="L3" s="7"/>
      <c r="M3" s="10"/>
      <c r="N3" s="2"/>
      <c r="O3" s="13"/>
      <c r="P3" s="12"/>
      <c r="Q3" s="14"/>
      <c r="R3" s="14"/>
      <c r="S3" s="11"/>
    </row>
    <row r="4" spans="1:19" customFormat="1" ht="42" customHeight="1" thickBot="1">
      <c r="A4" s="15"/>
      <c r="B4" s="16" t="s">
        <v>1</v>
      </c>
      <c r="C4" s="17" t="s">
        <v>2</v>
      </c>
      <c r="D4" s="18" t="s">
        <v>281</v>
      </c>
      <c r="E4" s="34" t="s">
        <v>6</v>
      </c>
      <c r="F4" s="19" t="s">
        <v>4</v>
      </c>
      <c r="G4" s="17" t="s">
        <v>5</v>
      </c>
      <c r="H4" s="16" t="s">
        <v>2</v>
      </c>
      <c r="I4" s="18" t="s">
        <v>281</v>
      </c>
      <c r="J4" s="35" t="s">
        <v>3</v>
      </c>
      <c r="K4" s="19" t="s">
        <v>4</v>
      </c>
      <c r="L4" s="19" t="s">
        <v>5</v>
      </c>
      <c r="M4" s="21" t="s">
        <v>7</v>
      </c>
      <c r="N4" s="22" t="s">
        <v>8</v>
      </c>
      <c r="O4" s="19" t="s">
        <v>9</v>
      </c>
      <c r="P4" s="23" t="s">
        <v>281</v>
      </c>
      <c r="Q4" s="20" t="s">
        <v>11</v>
      </c>
      <c r="R4" s="24" t="s">
        <v>10</v>
      </c>
      <c r="S4" s="25"/>
    </row>
    <row r="5" spans="1:19" ht="21.95" customHeight="1">
      <c r="A5" s="243" t="s">
        <v>37</v>
      </c>
      <c r="B5" s="64" t="s">
        <v>145</v>
      </c>
      <c r="C5" s="36" t="s">
        <v>147</v>
      </c>
      <c r="D5" s="37" t="s">
        <v>15</v>
      </c>
      <c r="E5" s="38">
        <v>40</v>
      </c>
      <c r="F5" s="39" t="s">
        <v>16</v>
      </c>
      <c r="G5" s="68" t="s">
        <v>148</v>
      </c>
      <c r="H5" s="72" t="s">
        <v>147</v>
      </c>
      <c r="I5" s="37" t="s">
        <v>15</v>
      </c>
      <c r="J5" s="39">
        <f>ROUNDUP(E5*0.75,2)</f>
        <v>30</v>
      </c>
      <c r="K5" s="39" t="s">
        <v>16</v>
      </c>
      <c r="L5" s="39" t="s">
        <v>148</v>
      </c>
      <c r="M5" s="76" t="e">
        <f>#REF!</f>
        <v>#REF!</v>
      </c>
      <c r="N5" s="64" t="s">
        <v>146</v>
      </c>
      <c r="O5" s="40" t="s">
        <v>89</v>
      </c>
      <c r="P5" s="37" t="s">
        <v>39</v>
      </c>
      <c r="Q5" s="41">
        <v>2</v>
      </c>
      <c r="R5" s="84">
        <f>ROUNDUP(Q5*0.75,2)</f>
        <v>1.5</v>
      </c>
    </row>
    <row r="6" spans="1:19" ht="21.95" customHeight="1">
      <c r="A6" s="244"/>
      <c r="B6" s="65"/>
      <c r="C6" s="42" t="s">
        <v>17</v>
      </c>
      <c r="D6" s="43"/>
      <c r="E6" s="44">
        <v>20</v>
      </c>
      <c r="F6" s="45" t="s">
        <v>16</v>
      </c>
      <c r="G6" s="69" t="s">
        <v>18</v>
      </c>
      <c r="H6" s="73" t="s">
        <v>17</v>
      </c>
      <c r="I6" s="43"/>
      <c r="J6" s="45">
        <f>ROUNDUP(E6*0.75,2)</f>
        <v>15</v>
      </c>
      <c r="K6" s="45" t="s">
        <v>16</v>
      </c>
      <c r="L6" s="45" t="s">
        <v>18</v>
      </c>
      <c r="M6" s="77" t="e">
        <f>#REF!</f>
        <v>#REF!</v>
      </c>
      <c r="N6" s="65" t="s">
        <v>258</v>
      </c>
      <c r="O6" s="46" t="s">
        <v>32</v>
      </c>
      <c r="P6" s="43"/>
      <c r="Q6" s="47">
        <v>2</v>
      </c>
      <c r="R6" s="85">
        <f>ROUNDUP(Q6*0.75,2)</f>
        <v>1.5</v>
      </c>
    </row>
    <row r="7" spans="1:19" ht="21.95" customHeight="1">
      <c r="A7" s="244"/>
      <c r="B7" s="65"/>
      <c r="C7" s="42" t="s">
        <v>56</v>
      </c>
      <c r="D7" s="43"/>
      <c r="E7" s="44">
        <v>30</v>
      </c>
      <c r="F7" s="45" t="s">
        <v>16</v>
      </c>
      <c r="G7" s="69"/>
      <c r="H7" s="73" t="s">
        <v>56</v>
      </c>
      <c r="I7" s="43"/>
      <c r="J7" s="45">
        <f>ROUNDUP(E7*0.75,2)</f>
        <v>22.5</v>
      </c>
      <c r="K7" s="45" t="s">
        <v>16</v>
      </c>
      <c r="L7" s="45"/>
      <c r="M7" s="77" t="e">
        <f>ROUND(#REF!+(#REF!*6/100),2)</f>
        <v>#REF!</v>
      </c>
      <c r="N7" s="65" t="s">
        <v>259</v>
      </c>
      <c r="O7" s="46" t="s">
        <v>76</v>
      </c>
      <c r="P7" s="43"/>
      <c r="Q7" s="47">
        <v>10</v>
      </c>
      <c r="R7" s="85">
        <f>ROUNDUP(Q7*0.75,2)</f>
        <v>7.5</v>
      </c>
    </row>
    <row r="8" spans="1:19" ht="21.95" customHeight="1">
      <c r="A8" s="244"/>
      <c r="B8" s="65"/>
      <c r="C8" s="42" t="s">
        <v>149</v>
      </c>
      <c r="D8" s="43"/>
      <c r="E8" s="44">
        <v>5</v>
      </c>
      <c r="F8" s="45" t="s">
        <v>16</v>
      </c>
      <c r="G8" s="69"/>
      <c r="H8" s="73" t="s">
        <v>149</v>
      </c>
      <c r="I8" s="43"/>
      <c r="J8" s="45">
        <f>ROUNDUP(E8*0.75,2)</f>
        <v>3.75</v>
      </c>
      <c r="K8" s="45" t="s">
        <v>16</v>
      </c>
      <c r="L8" s="45"/>
      <c r="M8" s="77" t="e">
        <f>ROUND(#REF!+(#REF!*15/100),2)</f>
        <v>#REF!</v>
      </c>
      <c r="N8" s="65" t="s">
        <v>13</v>
      </c>
      <c r="O8" s="46" t="s">
        <v>110</v>
      </c>
      <c r="P8" s="43"/>
      <c r="Q8" s="47">
        <v>2</v>
      </c>
      <c r="R8" s="85">
        <f>ROUNDUP(Q8*0.75,2)</f>
        <v>1.5</v>
      </c>
    </row>
    <row r="9" spans="1:19" ht="21.95" customHeight="1">
      <c r="A9" s="244"/>
      <c r="B9" s="65"/>
      <c r="C9" s="42"/>
      <c r="D9" s="43"/>
      <c r="E9" s="44"/>
      <c r="F9" s="45"/>
      <c r="G9" s="69"/>
      <c r="H9" s="73"/>
      <c r="I9" s="43"/>
      <c r="J9" s="45"/>
      <c r="K9" s="45"/>
      <c r="L9" s="45"/>
      <c r="M9" s="77"/>
      <c r="N9" s="65"/>
      <c r="O9" s="46" t="s">
        <v>33</v>
      </c>
      <c r="P9" s="43"/>
      <c r="Q9" s="47">
        <v>0.5</v>
      </c>
      <c r="R9" s="85">
        <f>ROUNDUP(Q9*0.75,2)</f>
        <v>0.38</v>
      </c>
    </row>
    <row r="10" spans="1:19" ht="21.95" customHeight="1">
      <c r="A10" s="244"/>
      <c r="B10" s="66"/>
      <c r="C10" s="49"/>
      <c r="D10" s="50"/>
      <c r="E10" s="51"/>
      <c r="F10" s="52"/>
      <c r="G10" s="70"/>
      <c r="H10" s="74"/>
      <c r="I10" s="50"/>
      <c r="J10" s="52"/>
      <c r="K10" s="52"/>
      <c r="L10" s="52"/>
      <c r="M10" s="78"/>
      <c r="N10" s="66"/>
      <c r="O10" s="53"/>
      <c r="P10" s="50"/>
      <c r="Q10" s="54"/>
      <c r="R10" s="86"/>
    </row>
    <row r="11" spans="1:19" ht="21.95" customHeight="1">
      <c r="A11" s="244"/>
      <c r="B11" s="65" t="s">
        <v>150</v>
      </c>
      <c r="C11" s="42" t="s">
        <v>45</v>
      </c>
      <c r="D11" s="43"/>
      <c r="E11" s="44">
        <v>30</v>
      </c>
      <c r="F11" s="45" t="s">
        <v>16</v>
      </c>
      <c r="G11" s="69"/>
      <c r="H11" s="73" t="s">
        <v>45</v>
      </c>
      <c r="I11" s="43"/>
      <c r="J11" s="45">
        <f>ROUNDUP(E11*0.75,2)</f>
        <v>22.5</v>
      </c>
      <c r="K11" s="45" t="s">
        <v>16</v>
      </c>
      <c r="L11" s="45"/>
      <c r="M11" s="77" t="e">
        <f>ROUND(#REF!+(#REF!*15/100),2)</f>
        <v>#REF!</v>
      </c>
      <c r="N11" s="65" t="s">
        <v>151</v>
      </c>
      <c r="O11" s="46" t="s">
        <v>33</v>
      </c>
      <c r="P11" s="43"/>
      <c r="Q11" s="47">
        <v>1</v>
      </c>
      <c r="R11" s="85">
        <f>ROUNDUP(Q11*0.75,2)</f>
        <v>0.75</v>
      </c>
    </row>
    <row r="12" spans="1:19" ht="21.95" customHeight="1">
      <c r="A12" s="244"/>
      <c r="B12" s="65"/>
      <c r="C12" s="42" t="s">
        <v>123</v>
      </c>
      <c r="D12" s="43"/>
      <c r="E12" s="44">
        <v>5</v>
      </c>
      <c r="F12" s="45" t="s">
        <v>16</v>
      </c>
      <c r="G12" s="69"/>
      <c r="H12" s="73" t="s">
        <v>123</v>
      </c>
      <c r="I12" s="43"/>
      <c r="J12" s="45">
        <f>ROUNDUP(E12*0.75,2)</f>
        <v>3.75</v>
      </c>
      <c r="K12" s="45" t="s">
        <v>16</v>
      </c>
      <c r="L12" s="45"/>
      <c r="M12" s="77" t="e">
        <f>ROUND(#REF!+(#REF!*10/100),2)</f>
        <v>#REF!</v>
      </c>
      <c r="N12" s="65" t="s">
        <v>152</v>
      </c>
      <c r="O12" s="46" t="s">
        <v>26</v>
      </c>
      <c r="P12" s="43"/>
      <c r="Q12" s="47">
        <v>0.1</v>
      </c>
      <c r="R12" s="85">
        <f>ROUNDUP(Q12*0.75,2)</f>
        <v>0.08</v>
      </c>
    </row>
    <row r="13" spans="1:19" ht="21.95" customHeight="1">
      <c r="A13" s="244"/>
      <c r="B13" s="65"/>
      <c r="C13" s="42" t="s">
        <v>21</v>
      </c>
      <c r="D13" s="43" t="s">
        <v>22</v>
      </c>
      <c r="E13" s="48">
        <v>0.5</v>
      </c>
      <c r="F13" s="45" t="s">
        <v>23</v>
      </c>
      <c r="G13" s="69"/>
      <c r="H13" s="73" t="s">
        <v>21</v>
      </c>
      <c r="I13" s="43" t="s">
        <v>22</v>
      </c>
      <c r="J13" s="45">
        <f>ROUNDUP(E13*0.75,2)</f>
        <v>0.38</v>
      </c>
      <c r="K13" s="45" t="s">
        <v>23</v>
      </c>
      <c r="L13" s="45"/>
      <c r="M13" s="77" t="e">
        <f>#REF!</f>
        <v>#REF!</v>
      </c>
      <c r="N13" s="65" t="s">
        <v>153</v>
      </c>
      <c r="O13" s="46" t="s">
        <v>32</v>
      </c>
      <c r="P13" s="43"/>
      <c r="Q13" s="47">
        <v>2</v>
      </c>
      <c r="R13" s="85">
        <f>ROUNDUP(Q13*0.75,2)</f>
        <v>1.5</v>
      </c>
    </row>
    <row r="14" spans="1:19" ht="21.95" customHeight="1">
      <c r="A14" s="244"/>
      <c r="B14" s="65"/>
      <c r="C14" s="42" t="s">
        <v>57</v>
      </c>
      <c r="D14" s="43"/>
      <c r="E14" s="44">
        <v>5</v>
      </c>
      <c r="F14" s="45" t="s">
        <v>16</v>
      </c>
      <c r="G14" s="69" t="s">
        <v>58</v>
      </c>
      <c r="H14" s="73" t="s">
        <v>57</v>
      </c>
      <c r="I14" s="43"/>
      <c r="J14" s="45">
        <f>ROUNDUP(E14*0.75,2)</f>
        <v>3.75</v>
      </c>
      <c r="K14" s="45" t="s">
        <v>16</v>
      </c>
      <c r="L14" s="45" t="s">
        <v>58</v>
      </c>
      <c r="M14" s="77" t="e">
        <f>#REF!</f>
        <v>#REF!</v>
      </c>
      <c r="N14" s="65" t="s">
        <v>52</v>
      </c>
      <c r="O14" s="46" t="s">
        <v>91</v>
      </c>
      <c r="P14" s="43"/>
      <c r="Q14" s="47">
        <v>2</v>
      </c>
      <c r="R14" s="85">
        <f>ROUNDUP(Q14*0.75,2)</f>
        <v>1.5</v>
      </c>
    </row>
    <row r="15" spans="1:19" ht="21.95" customHeight="1">
      <c r="A15" s="244"/>
      <c r="B15" s="65"/>
      <c r="C15" s="42"/>
      <c r="D15" s="43"/>
      <c r="E15" s="44"/>
      <c r="F15" s="45"/>
      <c r="G15" s="69"/>
      <c r="H15" s="73"/>
      <c r="I15" s="43"/>
      <c r="J15" s="45"/>
      <c r="K15" s="45"/>
      <c r="L15" s="45"/>
      <c r="M15" s="77"/>
      <c r="N15" s="65" t="s">
        <v>13</v>
      </c>
      <c r="O15" s="46"/>
      <c r="P15" s="43"/>
      <c r="Q15" s="47"/>
      <c r="R15" s="85"/>
    </row>
    <row r="16" spans="1:19" ht="21.95" customHeight="1">
      <c r="A16" s="244"/>
      <c r="B16" s="66"/>
      <c r="C16" s="49"/>
      <c r="D16" s="50"/>
      <c r="E16" s="51"/>
      <c r="F16" s="52"/>
      <c r="G16" s="70"/>
      <c r="H16" s="74"/>
      <c r="I16" s="50"/>
      <c r="J16" s="52"/>
      <c r="K16" s="52"/>
      <c r="L16" s="52"/>
      <c r="M16" s="78"/>
      <c r="N16" s="66"/>
      <c r="O16" s="53"/>
      <c r="P16" s="50"/>
      <c r="Q16" s="54"/>
      <c r="R16" s="86"/>
    </row>
    <row r="17" spans="1:18" ht="21.95" customHeight="1">
      <c r="A17" s="244"/>
      <c r="B17" s="65" t="s">
        <v>154</v>
      </c>
      <c r="C17" s="42" t="s">
        <v>20</v>
      </c>
      <c r="D17" s="43"/>
      <c r="E17" s="44">
        <v>10</v>
      </c>
      <c r="F17" s="45" t="s">
        <v>16</v>
      </c>
      <c r="G17" s="69"/>
      <c r="H17" s="73" t="s">
        <v>20</v>
      </c>
      <c r="I17" s="43"/>
      <c r="J17" s="45">
        <f>ROUNDUP(E17*0.75,2)</f>
        <v>7.5</v>
      </c>
      <c r="K17" s="45" t="s">
        <v>16</v>
      </c>
      <c r="L17" s="45"/>
      <c r="M17" s="77" t="e">
        <f>ROUND(#REF!+(#REF!*3/100),2)</f>
        <v>#REF!</v>
      </c>
      <c r="N17" s="65" t="s">
        <v>155</v>
      </c>
      <c r="O17" s="46" t="s">
        <v>49</v>
      </c>
      <c r="P17" s="43"/>
      <c r="Q17" s="47">
        <v>60</v>
      </c>
      <c r="R17" s="85">
        <f>ROUNDUP(Q17*0.75,2)</f>
        <v>45</v>
      </c>
    </row>
    <row r="18" spans="1:18" ht="21.95" customHeight="1">
      <c r="A18" s="244"/>
      <c r="B18" s="65"/>
      <c r="C18" s="42" t="s">
        <v>46</v>
      </c>
      <c r="D18" s="43"/>
      <c r="E18" s="44">
        <v>10</v>
      </c>
      <c r="F18" s="45" t="s">
        <v>16</v>
      </c>
      <c r="G18" s="69" t="s">
        <v>47</v>
      </c>
      <c r="H18" s="73" t="s">
        <v>46</v>
      </c>
      <c r="I18" s="43"/>
      <c r="J18" s="45">
        <f>ROUNDUP(E18*0.75,2)</f>
        <v>7.5</v>
      </c>
      <c r="K18" s="45" t="s">
        <v>16</v>
      </c>
      <c r="L18" s="45" t="s">
        <v>47</v>
      </c>
      <c r="M18" s="77" t="e">
        <f>#REF!</f>
        <v>#REF!</v>
      </c>
      <c r="N18" s="65" t="s">
        <v>260</v>
      </c>
      <c r="O18" s="46" t="s">
        <v>157</v>
      </c>
      <c r="P18" s="43" t="s">
        <v>158</v>
      </c>
      <c r="Q18" s="47">
        <v>0.5</v>
      </c>
      <c r="R18" s="85">
        <f>ROUNDUP(Q18*0.75,2)</f>
        <v>0.38</v>
      </c>
    </row>
    <row r="19" spans="1:18" ht="21.95" customHeight="1">
      <c r="A19" s="244"/>
      <c r="B19" s="65"/>
      <c r="C19" s="42" t="s">
        <v>38</v>
      </c>
      <c r="D19" s="43" t="s">
        <v>39</v>
      </c>
      <c r="E19" s="44">
        <v>40</v>
      </c>
      <c r="F19" s="45" t="s">
        <v>40</v>
      </c>
      <c r="G19" s="69" t="s">
        <v>14</v>
      </c>
      <c r="H19" s="73" t="s">
        <v>38</v>
      </c>
      <c r="I19" s="43" t="s">
        <v>39</v>
      </c>
      <c r="J19" s="45">
        <f>ROUNDUP(E19*0.75,2)</f>
        <v>30</v>
      </c>
      <c r="K19" s="45" t="s">
        <v>40</v>
      </c>
      <c r="L19" s="45" t="s">
        <v>14</v>
      </c>
      <c r="M19" s="77" t="e">
        <f>#REF!</f>
        <v>#REF!</v>
      </c>
      <c r="N19" s="65" t="s">
        <v>261</v>
      </c>
      <c r="O19" s="46" t="s">
        <v>26</v>
      </c>
      <c r="P19" s="43"/>
      <c r="Q19" s="47">
        <v>0.1</v>
      </c>
      <c r="R19" s="85">
        <f>ROUNDUP(Q19*0.75,2)</f>
        <v>0.08</v>
      </c>
    </row>
    <row r="20" spans="1:18" ht="21.95" customHeight="1">
      <c r="A20" s="244"/>
      <c r="B20" s="65"/>
      <c r="C20" s="42"/>
      <c r="D20" s="43"/>
      <c r="E20" s="44"/>
      <c r="F20" s="45"/>
      <c r="G20" s="69"/>
      <c r="H20" s="73"/>
      <c r="I20" s="43"/>
      <c r="J20" s="45"/>
      <c r="K20" s="45"/>
      <c r="L20" s="45"/>
      <c r="M20" s="77"/>
      <c r="N20" s="65" t="s">
        <v>156</v>
      </c>
      <c r="O20" s="46" t="s">
        <v>89</v>
      </c>
      <c r="P20" s="43" t="s">
        <v>39</v>
      </c>
      <c r="Q20" s="47">
        <v>1</v>
      </c>
      <c r="R20" s="85">
        <f>ROUNDUP(Q20*0.75,2)</f>
        <v>0.75</v>
      </c>
    </row>
    <row r="21" spans="1:18" ht="21.95" customHeight="1">
      <c r="A21" s="244"/>
      <c r="B21" s="65"/>
      <c r="C21" s="42"/>
      <c r="D21" s="43"/>
      <c r="E21" s="44"/>
      <c r="F21" s="45"/>
      <c r="G21" s="69"/>
      <c r="H21" s="73"/>
      <c r="I21" s="43"/>
      <c r="J21" s="45"/>
      <c r="K21" s="45"/>
      <c r="L21" s="45"/>
      <c r="M21" s="77"/>
      <c r="N21" s="65" t="s">
        <v>13</v>
      </c>
      <c r="O21" s="46" t="s">
        <v>28</v>
      </c>
      <c r="P21" s="43"/>
      <c r="Q21" s="47">
        <v>1</v>
      </c>
      <c r="R21" s="85">
        <f>ROUNDUP(Q21*0.75,2)</f>
        <v>0.75</v>
      </c>
    </row>
    <row r="22" spans="1:18" ht="21.95" customHeight="1" thickBot="1">
      <c r="A22" s="245"/>
      <c r="B22" s="67"/>
      <c r="C22" s="56"/>
      <c r="D22" s="57"/>
      <c r="E22" s="58"/>
      <c r="F22" s="59"/>
      <c r="G22" s="71"/>
      <c r="H22" s="75"/>
      <c r="I22" s="57"/>
      <c r="J22" s="59"/>
      <c r="K22" s="59"/>
      <c r="L22" s="59"/>
      <c r="M22" s="79"/>
      <c r="N22" s="67"/>
      <c r="O22" s="60"/>
      <c r="P22" s="57"/>
      <c r="Q22" s="61"/>
      <c r="R22" s="87"/>
    </row>
    <row r="23" spans="1:18" ht="21.95" customHeight="1"/>
    <row r="24" spans="1:18" ht="21.95" customHeight="1"/>
    <row r="25" spans="1:18" ht="21.95" customHeight="1"/>
  </sheetData>
  <mergeCells count="4">
    <mergeCell ref="H1:N1"/>
    <mergeCell ref="A2:R2"/>
    <mergeCell ref="A3:F3"/>
    <mergeCell ref="A5:A22"/>
  </mergeCells>
  <phoneticPr fontId="17"/>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5"/>
  <sheetViews>
    <sheetView showZeros="0" zoomScale="60" zoomScaleNormal="60" zoomScaleSheetLayoutView="80" workbookViewId="0"/>
  </sheetViews>
  <sheetFormatPr defaultRowHeight="18.75" customHeight="1"/>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c r="A1" s="1" t="s">
        <v>12</v>
      </c>
      <c r="B1" s="1"/>
      <c r="C1" s="2"/>
      <c r="D1" s="3"/>
      <c r="E1" s="2"/>
      <c r="F1" s="2"/>
      <c r="G1" s="2"/>
      <c r="H1" s="239"/>
      <c r="I1" s="239"/>
      <c r="J1" s="240"/>
      <c r="K1" s="240"/>
      <c r="L1" s="240"/>
      <c r="M1" s="240"/>
      <c r="N1" s="240"/>
      <c r="O1" s="2"/>
      <c r="P1" s="2"/>
      <c r="Q1" s="4"/>
      <c r="R1" s="4"/>
      <c r="S1" s="3"/>
    </row>
    <row r="2" spans="1:19" ht="36.75" customHeight="1">
      <c r="A2" s="239" t="s">
        <v>0</v>
      </c>
      <c r="B2" s="239"/>
      <c r="C2" s="240"/>
      <c r="D2" s="240"/>
      <c r="E2" s="240"/>
      <c r="F2" s="240"/>
      <c r="G2" s="240"/>
      <c r="H2" s="240"/>
      <c r="I2" s="240"/>
      <c r="J2" s="240"/>
      <c r="K2" s="240"/>
      <c r="L2" s="240"/>
      <c r="M2" s="240"/>
      <c r="N2" s="240"/>
      <c r="O2" s="240"/>
      <c r="P2" s="240"/>
      <c r="Q2" s="240"/>
      <c r="R2" s="240"/>
      <c r="S2" s="3"/>
    </row>
    <row r="3" spans="1:19" ht="27.75" customHeight="1" thickBot="1">
      <c r="A3" s="241" t="s">
        <v>164</v>
      </c>
      <c r="B3" s="242"/>
      <c r="C3" s="242"/>
      <c r="D3" s="242"/>
      <c r="E3" s="242"/>
      <c r="F3" s="242"/>
      <c r="G3" s="2"/>
      <c r="H3" s="2"/>
      <c r="I3" s="12"/>
      <c r="J3" s="2"/>
      <c r="K3" s="7"/>
      <c r="L3" s="7"/>
      <c r="M3" s="10"/>
      <c r="N3" s="2"/>
      <c r="O3" s="13"/>
      <c r="P3" s="12"/>
      <c r="Q3" s="14"/>
      <c r="R3" s="14"/>
      <c r="S3" s="11"/>
    </row>
    <row r="4" spans="1:19" customFormat="1" ht="42" customHeight="1" thickBot="1">
      <c r="A4" s="15"/>
      <c r="B4" s="16" t="s">
        <v>1</v>
      </c>
      <c r="C4" s="17" t="s">
        <v>2</v>
      </c>
      <c r="D4" s="18" t="s">
        <v>281</v>
      </c>
      <c r="E4" s="34" t="s">
        <v>6</v>
      </c>
      <c r="F4" s="19" t="s">
        <v>4</v>
      </c>
      <c r="G4" s="17" t="s">
        <v>5</v>
      </c>
      <c r="H4" s="16" t="s">
        <v>2</v>
      </c>
      <c r="I4" s="18" t="s">
        <v>281</v>
      </c>
      <c r="J4" s="35" t="s">
        <v>3</v>
      </c>
      <c r="K4" s="19" t="s">
        <v>4</v>
      </c>
      <c r="L4" s="19" t="s">
        <v>5</v>
      </c>
      <c r="M4" s="21" t="s">
        <v>7</v>
      </c>
      <c r="N4" s="22" t="s">
        <v>8</v>
      </c>
      <c r="O4" s="19" t="s">
        <v>9</v>
      </c>
      <c r="P4" s="23" t="s">
        <v>281</v>
      </c>
      <c r="Q4" s="20" t="s">
        <v>11</v>
      </c>
      <c r="R4" s="24" t="s">
        <v>10</v>
      </c>
      <c r="S4" s="25"/>
    </row>
    <row r="5" spans="1:19" ht="21.95" customHeight="1">
      <c r="A5" s="243" t="s">
        <v>37</v>
      </c>
      <c r="B5" s="64" t="s">
        <v>53</v>
      </c>
      <c r="C5" s="36"/>
      <c r="D5" s="37"/>
      <c r="E5" s="38"/>
      <c r="F5" s="39"/>
      <c r="G5" s="68"/>
      <c r="H5" s="72"/>
      <c r="I5" s="37"/>
      <c r="J5" s="39"/>
      <c r="K5" s="39"/>
      <c r="L5" s="39"/>
      <c r="M5" s="76"/>
      <c r="N5" s="64"/>
      <c r="O5" s="40" t="s">
        <v>53</v>
      </c>
      <c r="P5" s="37"/>
      <c r="Q5" s="41">
        <v>110</v>
      </c>
      <c r="R5" s="84">
        <f>ROUNDUP(Q5*0.75,2)</f>
        <v>82.5</v>
      </c>
    </row>
    <row r="6" spans="1:19" ht="21.95" customHeight="1">
      <c r="A6" s="244"/>
      <c r="B6" s="66"/>
      <c r="C6" s="49"/>
      <c r="D6" s="50"/>
      <c r="E6" s="51"/>
      <c r="F6" s="52"/>
      <c r="G6" s="70"/>
      <c r="H6" s="74"/>
      <c r="I6" s="50"/>
      <c r="J6" s="52"/>
      <c r="K6" s="52"/>
      <c r="L6" s="52"/>
      <c r="M6" s="78"/>
      <c r="N6" s="66"/>
      <c r="O6" s="53"/>
      <c r="P6" s="50"/>
      <c r="Q6" s="54"/>
      <c r="R6" s="86"/>
    </row>
    <row r="7" spans="1:19" ht="21.95" customHeight="1">
      <c r="A7" s="244"/>
      <c r="B7" s="65" t="s">
        <v>165</v>
      </c>
      <c r="C7" s="42" t="s">
        <v>117</v>
      </c>
      <c r="D7" s="43"/>
      <c r="E7" s="44">
        <v>1</v>
      </c>
      <c r="F7" s="45" t="s">
        <v>119</v>
      </c>
      <c r="G7" s="69" t="s">
        <v>118</v>
      </c>
      <c r="H7" s="73" t="s">
        <v>117</v>
      </c>
      <c r="I7" s="43"/>
      <c r="J7" s="45">
        <f>ROUNDUP(E7*0.75,2)</f>
        <v>0.75</v>
      </c>
      <c r="K7" s="45" t="s">
        <v>119</v>
      </c>
      <c r="L7" s="45" t="s">
        <v>118</v>
      </c>
      <c r="M7" s="77" t="e">
        <f>#REF!</f>
        <v>#REF!</v>
      </c>
      <c r="N7" s="65" t="s">
        <v>166</v>
      </c>
      <c r="O7" s="46" t="s">
        <v>48</v>
      </c>
      <c r="P7" s="43" t="s">
        <v>15</v>
      </c>
      <c r="Q7" s="47">
        <v>2</v>
      </c>
      <c r="R7" s="85">
        <f>ROUNDUP(Q7*0.75,2)</f>
        <v>1.5</v>
      </c>
    </row>
    <row r="8" spans="1:19" ht="21.95" customHeight="1">
      <c r="A8" s="244"/>
      <c r="B8" s="65"/>
      <c r="C8" s="42" t="s">
        <v>21</v>
      </c>
      <c r="D8" s="43" t="s">
        <v>22</v>
      </c>
      <c r="E8" s="62">
        <v>0.125</v>
      </c>
      <c r="F8" s="45" t="s">
        <v>23</v>
      </c>
      <c r="G8" s="69"/>
      <c r="H8" s="73" t="s">
        <v>21</v>
      </c>
      <c r="I8" s="43" t="s">
        <v>22</v>
      </c>
      <c r="J8" s="45">
        <f>ROUNDUP(E8*0.75,2)</f>
        <v>9.9999999999999992E-2</v>
      </c>
      <c r="K8" s="45" t="s">
        <v>23</v>
      </c>
      <c r="L8" s="45"/>
      <c r="M8" s="77" t="e">
        <f>#REF!</f>
        <v>#REF!</v>
      </c>
      <c r="N8" s="65" t="s">
        <v>167</v>
      </c>
      <c r="O8" s="46" t="s">
        <v>32</v>
      </c>
      <c r="P8" s="43"/>
      <c r="Q8" s="47">
        <v>3</v>
      </c>
      <c r="R8" s="85">
        <f>ROUNDUP(Q8*0.75,2)</f>
        <v>2.25</v>
      </c>
    </row>
    <row r="9" spans="1:19" ht="21.95" customHeight="1">
      <c r="A9" s="244"/>
      <c r="B9" s="65"/>
      <c r="C9" s="42" t="s">
        <v>106</v>
      </c>
      <c r="D9" s="43" t="s">
        <v>15</v>
      </c>
      <c r="E9" s="44">
        <v>5</v>
      </c>
      <c r="F9" s="45" t="s">
        <v>16</v>
      </c>
      <c r="G9" s="69" t="s">
        <v>107</v>
      </c>
      <c r="H9" s="73" t="s">
        <v>106</v>
      </c>
      <c r="I9" s="43" t="s">
        <v>15</v>
      </c>
      <c r="J9" s="45">
        <f>ROUNDUP(E9*0.75,2)</f>
        <v>3.75</v>
      </c>
      <c r="K9" s="45" t="s">
        <v>16</v>
      </c>
      <c r="L9" s="45" t="s">
        <v>107</v>
      </c>
      <c r="M9" s="77" t="e">
        <f>#REF!</f>
        <v>#REF!</v>
      </c>
      <c r="N9" s="65" t="s">
        <v>13</v>
      </c>
      <c r="O9" s="46" t="s">
        <v>110</v>
      </c>
      <c r="P9" s="43"/>
      <c r="Q9" s="47">
        <v>3</v>
      </c>
      <c r="R9" s="85">
        <f>ROUNDUP(Q9*0.75,2)</f>
        <v>2.25</v>
      </c>
    </row>
    <row r="10" spans="1:19" ht="21.95" customHeight="1">
      <c r="A10" s="244"/>
      <c r="B10" s="65"/>
      <c r="C10" s="42" t="s">
        <v>20</v>
      </c>
      <c r="D10" s="43"/>
      <c r="E10" s="44">
        <v>10</v>
      </c>
      <c r="F10" s="45" t="s">
        <v>16</v>
      </c>
      <c r="G10" s="69"/>
      <c r="H10" s="73" t="s">
        <v>20</v>
      </c>
      <c r="I10" s="43"/>
      <c r="J10" s="45">
        <f>ROUNDUP(E10*0.75,2)</f>
        <v>7.5</v>
      </c>
      <c r="K10" s="45" t="s">
        <v>16</v>
      </c>
      <c r="L10" s="45"/>
      <c r="M10" s="77" t="e">
        <f>ROUND(#REF!+(#REF!*3/100),2)</f>
        <v>#REF!</v>
      </c>
      <c r="N10" s="65"/>
      <c r="O10" s="46"/>
      <c r="P10" s="43"/>
      <c r="Q10" s="47"/>
      <c r="R10" s="85"/>
    </row>
    <row r="11" spans="1:19" ht="21.95" customHeight="1">
      <c r="A11" s="244"/>
      <c r="B11" s="65"/>
      <c r="C11" s="42" t="s">
        <v>168</v>
      </c>
      <c r="D11" s="43"/>
      <c r="E11" s="44">
        <v>10</v>
      </c>
      <c r="F11" s="45" t="s">
        <v>16</v>
      </c>
      <c r="G11" s="69"/>
      <c r="H11" s="73" t="s">
        <v>168</v>
      </c>
      <c r="I11" s="43"/>
      <c r="J11" s="45">
        <f>ROUNDUP(E11*0.75,2)</f>
        <v>7.5</v>
      </c>
      <c r="K11" s="45" t="s">
        <v>16</v>
      </c>
      <c r="L11" s="45"/>
      <c r="M11" s="77" t="e">
        <f>ROUND(#REF!+(#REF!*50/100),2)</f>
        <v>#REF!</v>
      </c>
      <c r="N11" s="65"/>
      <c r="O11" s="46"/>
      <c r="P11" s="43"/>
      <c r="Q11" s="47"/>
      <c r="R11" s="85"/>
    </row>
    <row r="12" spans="1:19" ht="21.95" customHeight="1">
      <c r="A12" s="244"/>
      <c r="B12" s="66"/>
      <c r="C12" s="49"/>
      <c r="D12" s="50"/>
      <c r="E12" s="51"/>
      <c r="F12" s="52"/>
      <c r="G12" s="70"/>
      <c r="H12" s="74"/>
      <c r="I12" s="50"/>
      <c r="J12" s="52"/>
      <c r="K12" s="52"/>
      <c r="L12" s="52"/>
      <c r="M12" s="78"/>
      <c r="N12" s="66"/>
      <c r="O12" s="53"/>
      <c r="P12" s="50"/>
      <c r="Q12" s="54"/>
      <c r="R12" s="86"/>
    </row>
    <row r="13" spans="1:19" ht="21.95" customHeight="1">
      <c r="A13" s="244"/>
      <c r="B13" s="65" t="s">
        <v>169</v>
      </c>
      <c r="C13" s="42" t="s">
        <v>141</v>
      </c>
      <c r="D13" s="43"/>
      <c r="E13" s="44">
        <v>30</v>
      </c>
      <c r="F13" s="45" t="s">
        <v>16</v>
      </c>
      <c r="G13" s="69"/>
      <c r="H13" s="73" t="s">
        <v>141</v>
      </c>
      <c r="I13" s="43"/>
      <c r="J13" s="45">
        <f>ROUNDUP(E13*0.75,2)</f>
        <v>22.5</v>
      </c>
      <c r="K13" s="45" t="s">
        <v>16</v>
      </c>
      <c r="L13" s="45"/>
      <c r="M13" s="77" t="e">
        <f>ROUND(#REF!+(#REF!*3/100),2)</f>
        <v>#REF!</v>
      </c>
      <c r="N13" s="65" t="s">
        <v>262</v>
      </c>
      <c r="O13" s="46" t="s">
        <v>33</v>
      </c>
      <c r="P13" s="43"/>
      <c r="Q13" s="47">
        <v>1</v>
      </c>
      <c r="R13" s="85">
        <f>ROUNDUP(Q13*0.75,2)</f>
        <v>0.75</v>
      </c>
    </row>
    <row r="14" spans="1:19" ht="21.95" customHeight="1">
      <c r="A14" s="244"/>
      <c r="B14" s="65"/>
      <c r="C14" s="42" t="s">
        <v>80</v>
      </c>
      <c r="D14" s="43"/>
      <c r="E14" s="44">
        <v>0.5</v>
      </c>
      <c r="F14" s="45" t="s">
        <v>16</v>
      </c>
      <c r="G14" s="69" t="s">
        <v>81</v>
      </c>
      <c r="H14" s="73" t="s">
        <v>80</v>
      </c>
      <c r="I14" s="43"/>
      <c r="J14" s="45">
        <f>ROUNDUP(E14*0.75,2)</f>
        <v>0.38</v>
      </c>
      <c r="K14" s="45" t="s">
        <v>16</v>
      </c>
      <c r="L14" s="45" t="s">
        <v>81</v>
      </c>
      <c r="M14" s="77" t="e">
        <f>#REF!</f>
        <v>#REF!</v>
      </c>
      <c r="N14" s="65" t="s">
        <v>170</v>
      </c>
      <c r="O14" s="46" t="s">
        <v>26</v>
      </c>
      <c r="P14" s="43"/>
      <c r="Q14" s="47">
        <v>0.1</v>
      </c>
      <c r="R14" s="85">
        <f>ROUNDUP(Q14*0.75,2)</f>
        <v>0.08</v>
      </c>
    </row>
    <row r="15" spans="1:19" ht="21.95" customHeight="1">
      <c r="A15" s="244"/>
      <c r="B15" s="65"/>
      <c r="C15" s="42"/>
      <c r="D15" s="43"/>
      <c r="E15" s="44"/>
      <c r="F15" s="45"/>
      <c r="G15" s="69"/>
      <c r="H15" s="73"/>
      <c r="I15" s="43"/>
      <c r="J15" s="45"/>
      <c r="K15" s="45"/>
      <c r="L15" s="45"/>
      <c r="M15" s="77"/>
      <c r="N15" s="65" t="s">
        <v>13</v>
      </c>
      <c r="O15" s="46" t="s">
        <v>91</v>
      </c>
      <c r="P15" s="43"/>
      <c r="Q15" s="47">
        <v>2</v>
      </c>
      <c r="R15" s="85">
        <f>ROUNDUP(Q15*0.75,2)</f>
        <v>1.5</v>
      </c>
    </row>
    <row r="16" spans="1:19" ht="21.95" customHeight="1">
      <c r="A16" s="244"/>
      <c r="B16" s="65"/>
      <c r="C16" s="42"/>
      <c r="D16" s="43"/>
      <c r="E16" s="44"/>
      <c r="F16" s="45"/>
      <c r="G16" s="69"/>
      <c r="H16" s="73"/>
      <c r="I16" s="43"/>
      <c r="J16" s="45"/>
      <c r="K16" s="45"/>
      <c r="L16" s="45"/>
      <c r="M16" s="77"/>
      <c r="N16" s="65"/>
      <c r="O16" s="46" t="s">
        <v>121</v>
      </c>
      <c r="P16" s="43"/>
      <c r="Q16" s="47">
        <v>2</v>
      </c>
      <c r="R16" s="85">
        <f>ROUNDUP(Q16*0.75,2)</f>
        <v>1.5</v>
      </c>
    </row>
    <row r="17" spans="1:18" ht="21.95" customHeight="1">
      <c r="A17" s="244"/>
      <c r="B17" s="66"/>
      <c r="C17" s="49"/>
      <c r="D17" s="50"/>
      <c r="E17" s="51"/>
      <c r="F17" s="52"/>
      <c r="G17" s="70"/>
      <c r="H17" s="74"/>
      <c r="I17" s="50"/>
      <c r="J17" s="52"/>
      <c r="K17" s="52"/>
      <c r="L17" s="52"/>
      <c r="M17" s="78"/>
      <c r="N17" s="66"/>
      <c r="O17" s="53"/>
      <c r="P17" s="50"/>
      <c r="Q17" s="54"/>
      <c r="R17" s="86"/>
    </row>
    <row r="18" spans="1:18" ht="21.95" customHeight="1">
      <c r="A18" s="244"/>
      <c r="B18" s="65" t="s">
        <v>64</v>
      </c>
      <c r="C18" s="42" t="s">
        <v>171</v>
      </c>
      <c r="D18" s="43" t="s">
        <v>15</v>
      </c>
      <c r="E18" s="63">
        <v>0.1</v>
      </c>
      <c r="F18" s="45" t="s">
        <v>63</v>
      </c>
      <c r="G18" s="69"/>
      <c r="H18" s="73" t="s">
        <v>171</v>
      </c>
      <c r="I18" s="43" t="s">
        <v>15</v>
      </c>
      <c r="J18" s="45">
        <f>ROUNDUP(E18*0.75,2)</f>
        <v>0.08</v>
      </c>
      <c r="K18" s="45" t="s">
        <v>63</v>
      </c>
      <c r="L18" s="45"/>
      <c r="M18" s="77"/>
      <c r="N18" s="65" t="s">
        <v>13</v>
      </c>
      <c r="O18" s="46" t="s">
        <v>24</v>
      </c>
      <c r="P18" s="43"/>
      <c r="Q18" s="47">
        <v>100</v>
      </c>
      <c r="R18" s="85">
        <f>ROUNDUP(Q18*0.75,2)</f>
        <v>75</v>
      </c>
    </row>
    <row r="19" spans="1:18" ht="21.95" customHeight="1">
      <c r="A19" s="244"/>
      <c r="B19" s="65"/>
      <c r="C19" s="42" t="s">
        <v>30</v>
      </c>
      <c r="D19" s="43"/>
      <c r="E19" s="44">
        <v>20</v>
      </c>
      <c r="F19" s="45" t="s">
        <v>16</v>
      </c>
      <c r="G19" s="69"/>
      <c r="H19" s="73" t="s">
        <v>30</v>
      </c>
      <c r="I19" s="43"/>
      <c r="J19" s="45">
        <f>ROUNDUP(E19*0.75,2)</f>
        <v>15</v>
      </c>
      <c r="K19" s="45" t="s">
        <v>16</v>
      </c>
      <c r="L19" s="45"/>
      <c r="M19" s="77" t="e">
        <f>ROUND(#REF!+(#REF!*10/100),2)</f>
        <v>#REF!</v>
      </c>
      <c r="N19" s="65"/>
      <c r="O19" s="46" t="s">
        <v>26</v>
      </c>
      <c r="P19" s="43"/>
      <c r="Q19" s="47">
        <v>0.1</v>
      </c>
      <c r="R19" s="85">
        <f>ROUNDUP(Q19*0.75,2)</f>
        <v>0.08</v>
      </c>
    </row>
    <row r="20" spans="1:18" ht="21.95" customHeight="1">
      <c r="A20" s="244"/>
      <c r="B20" s="65"/>
      <c r="C20" s="42"/>
      <c r="D20" s="43"/>
      <c r="E20" s="44"/>
      <c r="F20" s="45"/>
      <c r="G20" s="69"/>
      <c r="H20" s="73"/>
      <c r="I20" s="43"/>
      <c r="J20" s="45"/>
      <c r="K20" s="45"/>
      <c r="L20" s="45"/>
      <c r="M20" s="77"/>
      <c r="N20" s="65"/>
      <c r="O20" s="46" t="s">
        <v>27</v>
      </c>
      <c r="P20" s="43" t="s">
        <v>15</v>
      </c>
      <c r="Q20" s="47">
        <v>0.5</v>
      </c>
      <c r="R20" s="85">
        <f>ROUNDUP(Q20*0.75,2)</f>
        <v>0.38</v>
      </c>
    </row>
    <row r="21" spans="1:18" ht="21.95" customHeight="1">
      <c r="A21" s="244"/>
      <c r="B21" s="66"/>
      <c r="C21" s="49"/>
      <c r="D21" s="50"/>
      <c r="E21" s="51"/>
      <c r="F21" s="52"/>
      <c r="G21" s="70"/>
      <c r="H21" s="74"/>
      <c r="I21" s="50"/>
      <c r="J21" s="52"/>
      <c r="K21" s="52"/>
      <c r="L21" s="52"/>
      <c r="M21" s="78"/>
      <c r="N21" s="66"/>
      <c r="O21" s="53"/>
      <c r="P21" s="50"/>
      <c r="Q21" s="54"/>
      <c r="R21" s="86"/>
    </row>
    <row r="22" spans="1:18" ht="21.95" customHeight="1">
      <c r="A22" s="244"/>
      <c r="B22" s="65" t="s">
        <v>139</v>
      </c>
      <c r="C22" s="42" t="s">
        <v>140</v>
      </c>
      <c r="D22" s="43"/>
      <c r="E22" s="81">
        <v>0.25</v>
      </c>
      <c r="F22" s="45" t="s">
        <v>44</v>
      </c>
      <c r="G22" s="69"/>
      <c r="H22" s="73" t="s">
        <v>140</v>
      </c>
      <c r="I22" s="43"/>
      <c r="J22" s="45">
        <f>ROUNDUP(E22*0.75,2)</f>
        <v>0.19</v>
      </c>
      <c r="K22" s="45" t="s">
        <v>44</v>
      </c>
      <c r="L22" s="45"/>
      <c r="M22" s="77" t="e">
        <f>#REF!</f>
        <v>#REF!</v>
      </c>
      <c r="N22" s="65" t="s">
        <v>35</v>
      </c>
      <c r="O22" s="46"/>
      <c r="P22" s="43"/>
      <c r="Q22" s="47"/>
      <c r="R22" s="85"/>
    </row>
    <row r="23" spans="1:18" ht="21.95" customHeight="1" thickBot="1">
      <c r="A23" s="245"/>
      <c r="B23" s="67"/>
      <c r="C23" s="56"/>
      <c r="D23" s="57"/>
      <c r="E23" s="58"/>
      <c r="F23" s="59"/>
      <c r="G23" s="71"/>
      <c r="H23" s="75"/>
      <c r="I23" s="57"/>
      <c r="J23" s="59"/>
      <c r="K23" s="59"/>
      <c r="L23" s="59"/>
      <c r="M23" s="79"/>
      <c r="N23" s="67"/>
      <c r="O23" s="60"/>
      <c r="P23" s="57"/>
      <c r="Q23" s="61"/>
      <c r="R23" s="87"/>
    </row>
    <row r="24" spans="1:18" ht="21.95" customHeight="1"/>
    <row r="25" spans="1:18" ht="21.95" customHeight="1"/>
  </sheetData>
  <mergeCells count="4">
    <mergeCell ref="H1:N1"/>
    <mergeCell ref="A2:R2"/>
    <mergeCell ref="A3:F3"/>
    <mergeCell ref="A5:A23"/>
  </mergeCells>
  <phoneticPr fontId="17"/>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7"/>
  <sheetViews>
    <sheetView showZeros="0" zoomScale="60" zoomScaleNormal="60" zoomScaleSheetLayoutView="80" workbookViewId="0"/>
  </sheetViews>
  <sheetFormatPr defaultRowHeight="18.75" customHeight="1"/>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c r="A1" s="1" t="s">
        <v>12</v>
      </c>
      <c r="B1" s="1"/>
      <c r="C1" s="2"/>
      <c r="D1" s="3"/>
      <c r="E1" s="2"/>
      <c r="F1" s="2"/>
      <c r="G1" s="2"/>
      <c r="H1" s="239"/>
      <c r="I1" s="239"/>
      <c r="J1" s="240"/>
      <c r="K1" s="240"/>
      <c r="L1" s="240"/>
      <c r="M1" s="240"/>
      <c r="N1" s="240"/>
      <c r="O1" s="2"/>
      <c r="P1" s="2"/>
      <c r="Q1" s="4"/>
      <c r="R1" s="4"/>
      <c r="S1" s="3"/>
    </row>
    <row r="2" spans="1:19" ht="36.75" customHeight="1">
      <c r="A2" s="239" t="s">
        <v>0</v>
      </c>
      <c r="B2" s="239"/>
      <c r="C2" s="240"/>
      <c r="D2" s="240"/>
      <c r="E2" s="240"/>
      <c r="F2" s="240"/>
      <c r="G2" s="240"/>
      <c r="H2" s="240"/>
      <c r="I2" s="240"/>
      <c r="J2" s="240"/>
      <c r="K2" s="240"/>
      <c r="L2" s="240"/>
      <c r="M2" s="240"/>
      <c r="N2" s="240"/>
      <c r="O2" s="240"/>
      <c r="P2" s="240"/>
      <c r="Q2" s="240"/>
      <c r="R2" s="240"/>
      <c r="S2" s="3"/>
    </row>
    <row r="3" spans="1:19" ht="27.75" customHeight="1" thickBot="1">
      <c r="A3" s="241" t="s">
        <v>175</v>
      </c>
      <c r="B3" s="242"/>
      <c r="C3" s="242"/>
      <c r="D3" s="242"/>
      <c r="E3" s="242"/>
      <c r="F3" s="242"/>
      <c r="G3" s="2"/>
      <c r="H3" s="2"/>
      <c r="I3" s="12"/>
      <c r="J3" s="2"/>
      <c r="K3" s="7"/>
      <c r="L3" s="7"/>
      <c r="M3" s="10"/>
      <c r="N3" s="2"/>
      <c r="O3" s="13"/>
      <c r="P3" s="12"/>
      <c r="Q3" s="14"/>
      <c r="R3" s="14"/>
      <c r="S3" s="11"/>
    </row>
    <row r="4" spans="1:19" customFormat="1" ht="42" customHeight="1" thickBot="1">
      <c r="A4" s="15"/>
      <c r="B4" s="16" t="s">
        <v>1</v>
      </c>
      <c r="C4" s="17" t="s">
        <v>2</v>
      </c>
      <c r="D4" s="18" t="s">
        <v>281</v>
      </c>
      <c r="E4" s="34" t="s">
        <v>6</v>
      </c>
      <c r="F4" s="19" t="s">
        <v>4</v>
      </c>
      <c r="G4" s="17" t="s">
        <v>5</v>
      </c>
      <c r="H4" s="16" t="s">
        <v>2</v>
      </c>
      <c r="I4" s="18" t="s">
        <v>281</v>
      </c>
      <c r="J4" s="35" t="s">
        <v>3</v>
      </c>
      <c r="K4" s="19" t="s">
        <v>4</v>
      </c>
      <c r="L4" s="19" t="s">
        <v>5</v>
      </c>
      <c r="M4" s="21" t="s">
        <v>7</v>
      </c>
      <c r="N4" s="22" t="s">
        <v>8</v>
      </c>
      <c r="O4" s="19" t="s">
        <v>9</v>
      </c>
      <c r="P4" s="23" t="s">
        <v>281</v>
      </c>
      <c r="Q4" s="20" t="s">
        <v>11</v>
      </c>
      <c r="R4" s="24" t="s">
        <v>10</v>
      </c>
      <c r="S4" s="25"/>
    </row>
    <row r="5" spans="1:19" ht="18.95" customHeight="1">
      <c r="A5" s="243" t="s">
        <v>37</v>
      </c>
      <c r="B5" s="64" t="s">
        <v>53</v>
      </c>
      <c r="C5" s="36"/>
      <c r="D5" s="37"/>
      <c r="E5" s="38"/>
      <c r="F5" s="39"/>
      <c r="G5" s="68"/>
      <c r="H5" s="72"/>
      <c r="I5" s="37"/>
      <c r="J5" s="39"/>
      <c r="K5" s="39"/>
      <c r="L5" s="39"/>
      <c r="M5" s="76"/>
      <c r="N5" s="64"/>
      <c r="O5" s="40" t="s">
        <v>53</v>
      </c>
      <c r="P5" s="37"/>
      <c r="Q5" s="41">
        <v>110</v>
      </c>
      <c r="R5" s="84">
        <f>ROUNDUP(Q5*0.75,2)</f>
        <v>82.5</v>
      </c>
    </row>
    <row r="6" spans="1:19" ht="18.95" customHeight="1">
      <c r="A6" s="244"/>
      <c r="B6" s="66"/>
      <c r="C6" s="49"/>
      <c r="D6" s="50"/>
      <c r="E6" s="51"/>
      <c r="F6" s="52"/>
      <c r="G6" s="70"/>
      <c r="H6" s="74"/>
      <c r="I6" s="50"/>
      <c r="J6" s="52"/>
      <c r="K6" s="52"/>
      <c r="L6" s="52"/>
      <c r="M6" s="78"/>
      <c r="N6" s="66"/>
      <c r="O6" s="53"/>
      <c r="P6" s="50"/>
      <c r="Q6" s="54"/>
      <c r="R6" s="86"/>
    </row>
    <row r="7" spans="1:19" ht="18.95" customHeight="1">
      <c r="A7" s="244"/>
      <c r="B7" s="65" t="s">
        <v>176</v>
      </c>
      <c r="C7" s="42" t="s">
        <v>162</v>
      </c>
      <c r="D7" s="43"/>
      <c r="E7" s="44">
        <v>1</v>
      </c>
      <c r="F7" s="45" t="s">
        <v>119</v>
      </c>
      <c r="G7" s="69" t="s">
        <v>163</v>
      </c>
      <c r="H7" s="73" t="s">
        <v>162</v>
      </c>
      <c r="I7" s="43"/>
      <c r="J7" s="45">
        <f>ROUNDUP(E7*0.75,2)</f>
        <v>0.75</v>
      </c>
      <c r="K7" s="45" t="s">
        <v>119</v>
      </c>
      <c r="L7" s="45" t="s">
        <v>163</v>
      </c>
      <c r="M7" s="77" t="e">
        <f>#REF!</f>
        <v>#REF!</v>
      </c>
      <c r="N7" s="65" t="s">
        <v>177</v>
      </c>
      <c r="O7" s="46" t="s">
        <v>60</v>
      </c>
      <c r="P7" s="43"/>
      <c r="Q7" s="47">
        <v>0.5</v>
      </c>
      <c r="R7" s="85">
        <f t="shared" ref="R7:R12" si="0">ROUNDUP(Q7*0.75,2)</f>
        <v>0.38</v>
      </c>
    </row>
    <row r="8" spans="1:19" ht="18.95" customHeight="1">
      <c r="A8" s="244"/>
      <c r="B8" s="65"/>
      <c r="C8" s="42" t="s">
        <v>90</v>
      </c>
      <c r="D8" s="43"/>
      <c r="E8" s="44">
        <v>20</v>
      </c>
      <c r="F8" s="45" t="s">
        <v>16</v>
      </c>
      <c r="G8" s="69"/>
      <c r="H8" s="73" t="s">
        <v>90</v>
      </c>
      <c r="I8" s="43"/>
      <c r="J8" s="45">
        <f>ROUNDUP(E8*0.75,2)</f>
        <v>15</v>
      </c>
      <c r="K8" s="45" t="s">
        <v>16</v>
      </c>
      <c r="L8" s="45"/>
      <c r="M8" s="77" t="e">
        <f>ROUND(#REF!+(#REF!*3/100),2)</f>
        <v>#REF!</v>
      </c>
      <c r="N8" s="65" t="s">
        <v>178</v>
      </c>
      <c r="O8" s="46" t="s">
        <v>48</v>
      </c>
      <c r="P8" s="43" t="s">
        <v>15</v>
      </c>
      <c r="Q8" s="47">
        <v>3</v>
      </c>
      <c r="R8" s="85">
        <f t="shared" si="0"/>
        <v>2.25</v>
      </c>
    </row>
    <row r="9" spans="1:19" ht="18.95" customHeight="1">
      <c r="A9" s="244"/>
      <c r="B9" s="65"/>
      <c r="C9" s="42"/>
      <c r="D9" s="43"/>
      <c r="E9" s="44"/>
      <c r="F9" s="45"/>
      <c r="G9" s="69"/>
      <c r="H9" s="73"/>
      <c r="I9" s="43"/>
      <c r="J9" s="45"/>
      <c r="K9" s="45"/>
      <c r="L9" s="45"/>
      <c r="M9" s="77"/>
      <c r="N9" s="65" t="s">
        <v>179</v>
      </c>
      <c r="O9" s="46" t="s">
        <v>32</v>
      </c>
      <c r="P9" s="43"/>
      <c r="Q9" s="47">
        <v>1</v>
      </c>
      <c r="R9" s="85">
        <f t="shared" si="0"/>
        <v>0.75</v>
      </c>
    </row>
    <row r="10" spans="1:19" ht="18.95" customHeight="1">
      <c r="A10" s="244"/>
      <c r="B10" s="65"/>
      <c r="C10" s="42"/>
      <c r="D10" s="43"/>
      <c r="E10" s="44"/>
      <c r="F10" s="45"/>
      <c r="G10" s="69"/>
      <c r="H10" s="73"/>
      <c r="I10" s="43"/>
      <c r="J10" s="45"/>
      <c r="K10" s="45"/>
      <c r="L10" s="45"/>
      <c r="M10" s="77"/>
      <c r="N10" s="65" t="s">
        <v>180</v>
      </c>
      <c r="O10" s="46" t="s">
        <v>89</v>
      </c>
      <c r="P10" s="43" t="s">
        <v>39</v>
      </c>
      <c r="Q10" s="47">
        <v>1</v>
      </c>
      <c r="R10" s="85">
        <f t="shared" si="0"/>
        <v>0.75</v>
      </c>
    </row>
    <row r="11" spans="1:19" ht="18.95" customHeight="1">
      <c r="A11" s="244"/>
      <c r="B11" s="65"/>
      <c r="C11" s="42"/>
      <c r="D11" s="43"/>
      <c r="E11" s="44"/>
      <c r="F11" s="45"/>
      <c r="G11" s="69"/>
      <c r="H11" s="73"/>
      <c r="I11" s="43"/>
      <c r="J11" s="45"/>
      <c r="K11" s="45"/>
      <c r="L11" s="45"/>
      <c r="M11" s="77"/>
      <c r="N11" s="65" t="s">
        <v>181</v>
      </c>
      <c r="O11" s="46" t="s">
        <v>76</v>
      </c>
      <c r="P11" s="43"/>
      <c r="Q11" s="47">
        <v>2</v>
      </c>
      <c r="R11" s="85">
        <f t="shared" si="0"/>
        <v>1.5</v>
      </c>
    </row>
    <row r="12" spans="1:19" ht="18.95" customHeight="1">
      <c r="A12" s="244"/>
      <c r="B12" s="65"/>
      <c r="C12" s="42"/>
      <c r="D12" s="43"/>
      <c r="E12" s="44"/>
      <c r="F12" s="45"/>
      <c r="G12" s="69"/>
      <c r="H12" s="73"/>
      <c r="I12" s="43"/>
      <c r="J12" s="45"/>
      <c r="K12" s="45"/>
      <c r="L12" s="45"/>
      <c r="M12" s="77"/>
      <c r="N12" s="65" t="s">
        <v>29</v>
      </c>
      <c r="O12" s="46" t="s">
        <v>110</v>
      </c>
      <c r="P12" s="43"/>
      <c r="Q12" s="47">
        <v>1</v>
      </c>
      <c r="R12" s="85">
        <f t="shared" si="0"/>
        <v>0.75</v>
      </c>
    </row>
    <row r="13" spans="1:19" ht="18.95" customHeight="1">
      <c r="A13" s="244"/>
      <c r="B13" s="65"/>
      <c r="C13" s="42"/>
      <c r="D13" s="43"/>
      <c r="E13" s="44"/>
      <c r="F13" s="45"/>
      <c r="G13" s="69"/>
      <c r="H13" s="73"/>
      <c r="I13" s="43"/>
      <c r="J13" s="45"/>
      <c r="K13" s="45"/>
      <c r="L13" s="45"/>
      <c r="M13" s="77"/>
      <c r="N13" s="65" t="s">
        <v>86</v>
      </c>
      <c r="O13" s="46"/>
      <c r="P13" s="43"/>
      <c r="Q13" s="47"/>
      <c r="R13" s="85"/>
    </row>
    <row r="14" spans="1:19" ht="18.95" customHeight="1">
      <c r="A14" s="244"/>
      <c r="B14" s="65"/>
      <c r="C14" s="42"/>
      <c r="D14" s="43"/>
      <c r="E14" s="44"/>
      <c r="F14" s="45"/>
      <c r="G14" s="69"/>
      <c r="H14" s="73"/>
      <c r="I14" s="43"/>
      <c r="J14" s="45"/>
      <c r="K14" s="45"/>
      <c r="L14" s="45"/>
      <c r="M14" s="77"/>
      <c r="N14" s="65"/>
      <c r="O14" s="46"/>
      <c r="P14" s="43"/>
      <c r="Q14" s="47"/>
      <c r="R14" s="85"/>
    </row>
    <row r="15" spans="1:19" ht="18.95" customHeight="1">
      <c r="A15" s="244"/>
      <c r="B15" s="66"/>
      <c r="C15" s="49"/>
      <c r="D15" s="50"/>
      <c r="E15" s="51"/>
      <c r="F15" s="52"/>
      <c r="G15" s="70"/>
      <c r="H15" s="74"/>
      <c r="I15" s="50"/>
      <c r="J15" s="52"/>
      <c r="K15" s="52"/>
      <c r="L15" s="52"/>
      <c r="M15" s="78"/>
      <c r="N15" s="66"/>
      <c r="O15" s="53"/>
      <c r="P15" s="50"/>
      <c r="Q15" s="54"/>
      <c r="R15" s="86"/>
    </row>
    <row r="16" spans="1:19" ht="18.95" customHeight="1">
      <c r="A16" s="244"/>
      <c r="B16" s="65" t="s">
        <v>182</v>
      </c>
      <c r="C16" s="42" t="s">
        <v>115</v>
      </c>
      <c r="D16" s="43"/>
      <c r="E16" s="81">
        <v>0.25</v>
      </c>
      <c r="F16" s="45" t="s">
        <v>116</v>
      </c>
      <c r="G16" s="69" t="s">
        <v>14</v>
      </c>
      <c r="H16" s="73" t="s">
        <v>115</v>
      </c>
      <c r="I16" s="43"/>
      <c r="J16" s="45">
        <f>ROUNDUP(E16*0.75,2)</f>
        <v>0.19</v>
      </c>
      <c r="K16" s="45" t="s">
        <v>116</v>
      </c>
      <c r="L16" s="45" t="s">
        <v>14</v>
      </c>
      <c r="M16" s="77" t="e">
        <f>#REF!</f>
        <v>#REF!</v>
      </c>
      <c r="N16" s="65" t="s">
        <v>265</v>
      </c>
      <c r="O16" s="46" t="s">
        <v>32</v>
      </c>
      <c r="P16" s="43"/>
      <c r="Q16" s="47">
        <v>2</v>
      </c>
      <c r="R16" s="85">
        <f t="shared" ref="R16:R21" si="1">ROUNDUP(Q16*0.75,2)</f>
        <v>1.5</v>
      </c>
    </row>
    <row r="17" spans="1:18" ht="18.95" customHeight="1">
      <c r="A17" s="244"/>
      <c r="B17" s="65"/>
      <c r="C17" s="42" t="s">
        <v>184</v>
      </c>
      <c r="D17" s="43"/>
      <c r="E17" s="44">
        <v>10</v>
      </c>
      <c r="F17" s="45" t="s">
        <v>16</v>
      </c>
      <c r="G17" s="69" t="s">
        <v>58</v>
      </c>
      <c r="H17" s="73" t="s">
        <v>184</v>
      </c>
      <c r="I17" s="43"/>
      <c r="J17" s="45">
        <f>ROUNDUP(E17*0.75,2)</f>
        <v>7.5</v>
      </c>
      <c r="K17" s="45" t="s">
        <v>16</v>
      </c>
      <c r="L17" s="45" t="s">
        <v>58</v>
      </c>
      <c r="M17" s="77" t="e">
        <f>#REF!</f>
        <v>#REF!</v>
      </c>
      <c r="N17" s="65" t="s">
        <v>264</v>
      </c>
      <c r="O17" s="46" t="s">
        <v>24</v>
      </c>
      <c r="P17" s="43"/>
      <c r="Q17" s="47">
        <v>10</v>
      </c>
      <c r="R17" s="85">
        <f t="shared" si="1"/>
        <v>7.5</v>
      </c>
    </row>
    <row r="18" spans="1:18" ht="18.95" customHeight="1">
      <c r="A18" s="244"/>
      <c r="B18" s="65"/>
      <c r="C18" s="42" t="s">
        <v>20</v>
      </c>
      <c r="D18" s="43"/>
      <c r="E18" s="44">
        <v>10</v>
      </c>
      <c r="F18" s="45" t="s">
        <v>16</v>
      </c>
      <c r="G18" s="69"/>
      <c r="H18" s="73" t="s">
        <v>20</v>
      </c>
      <c r="I18" s="43"/>
      <c r="J18" s="45">
        <f>ROUNDUP(E18*0.75,2)</f>
        <v>7.5</v>
      </c>
      <c r="K18" s="45" t="s">
        <v>16</v>
      </c>
      <c r="L18" s="45"/>
      <c r="M18" s="77" t="e">
        <f>ROUND(#REF!+(#REF!*3/100),2)</f>
        <v>#REF!</v>
      </c>
      <c r="N18" s="65" t="s">
        <v>183</v>
      </c>
      <c r="O18" s="46" t="s">
        <v>33</v>
      </c>
      <c r="P18" s="43"/>
      <c r="Q18" s="47">
        <v>2</v>
      </c>
      <c r="R18" s="85">
        <f t="shared" si="1"/>
        <v>1.5</v>
      </c>
    </row>
    <row r="19" spans="1:18" ht="18.95" customHeight="1">
      <c r="A19" s="244"/>
      <c r="B19" s="65"/>
      <c r="C19" s="42" t="s">
        <v>21</v>
      </c>
      <c r="D19" s="43" t="s">
        <v>22</v>
      </c>
      <c r="E19" s="48">
        <v>0.5</v>
      </c>
      <c r="F19" s="45" t="s">
        <v>23</v>
      </c>
      <c r="G19" s="69"/>
      <c r="H19" s="73" t="s">
        <v>21</v>
      </c>
      <c r="I19" s="43" t="s">
        <v>22</v>
      </c>
      <c r="J19" s="45">
        <f>ROUNDUP(E19*0.75,2)</f>
        <v>0.38</v>
      </c>
      <c r="K19" s="45" t="s">
        <v>23</v>
      </c>
      <c r="L19" s="45"/>
      <c r="M19" s="77" t="e">
        <f>#REF!</f>
        <v>#REF!</v>
      </c>
      <c r="N19" s="65" t="s">
        <v>13</v>
      </c>
      <c r="O19" s="46" t="s">
        <v>60</v>
      </c>
      <c r="P19" s="43"/>
      <c r="Q19" s="47">
        <v>3</v>
      </c>
      <c r="R19" s="85">
        <f t="shared" si="1"/>
        <v>2.25</v>
      </c>
    </row>
    <row r="20" spans="1:18" ht="18.95" customHeight="1">
      <c r="A20" s="244"/>
      <c r="B20" s="65"/>
      <c r="C20" s="42"/>
      <c r="D20" s="43"/>
      <c r="E20" s="44"/>
      <c r="F20" s="45"/>
      <c r="G20" s="69"/>
      <c r="H20" s="73"/>
      <c r="I20" s="43"/>
      <c r="J20" s="45"/>
      <c r="K20" s="45"/>
      <c r="L20" s="45"/>
      <c r="M20" s="77"/>
      <c r="N20" s="65"/>
      <c r="O20" s="46" t="s">
        <v>26</v>
      </c>
      <c r="P20" s="43"/>
      <c r="Q20" s="47">
        <v>0.2</v>
      </c>
      <c r="R20" s="85">
        <f t="shared" si="1"/>
        <v>0.15</v>
      </c>
    </row>
    <row r="21" spans="1:18" ht="18.95" customHeight="1">
      <c r="A21" s="244"/>
      <c r="B21" s="65"/>
      <c r="C21" s="42"/>
      <c r="D21" s="43"/>
      <c r="E21" s="44"/>
      <c r="F21" s="45"/>
      <c r="G21" s="69"/>
      <c r="H21" s="73"/>
      <c r="I21" s="43"/>
      <c r="J21" s="45"/>
      <c r="K21" s="45"/>
      <c r="L21" s="45"/>
      <c r="M21" s="77"/>
      <c r="N21" s="65"/>
      <c r="O21" s="46" t="s">
        <v>27</v>
      </c>
      <c r="P21" s="43" t="s">
        <v>15</v>
      </c>
      <c r="Q21" s="47">
        <v>2</v>
      </c>
      <c r="R21" s="85">
        <f t="shared" si="1"/>
        <v>1.5</v>
      </c>
    </row>
    <row r="22" spans="1:18" ht="18.95" customHeight="1">
      <c r="A22" s="244"/>
      <c r="B22" s="66"/>
      <c r="C22" s="49"/>
      <c r="D22" s="50"/>
      <c r="E22" s="51"/>
      <c r="F22" s="52"/>
      <c r="G22" s="70"/>
      <c r="H22" s="74"/>
      <c r="I22" s="50"/>
      <c r="J22" s="52"/>
      <c r="K22" s="52"/>
      <c r="L22" s="52"/>
      <c r="M22" s="78"/>
      <c r="N22" s="66"/>
      <c r="O22" s="53"/>
      <c r="P22" s="50"/>
      <c r="Q22" s="54"/>
      <c r="R22" s="86"/>
    </row>
    <row r="23" spans="1:18" ht="18.95" customHeight="1">
      <c r="A23" s="244"/>
      <c r="B23" s="65" t="s">
        <v>92</v>
      </c>
      <c r="C23" s="42" t="s">
        <v>56</v>
      </c>
      <c r="D23" s="43"/>
      <c r="E23" s="44">
        <v>20</v>
      </c>
      <c r="F23" s="45" t="s">
        <v>16</v>
      </c>
      <c r="G23" s="69"/>
      <c r="H23" s="73" t="s">
        <v>56</v>
      </c>
      <c r="I23" s="43"/>
      <c r="J23" s="45">
        <f>ROUNDUP(E23*0.75,2)</f>
        <v>15</v>
      </c>
      <c r="K23" s="45" t="s">
        <v>16</v>
      </c>
      <c r="L23" s="45"/>
      <c r="M23" s="77" t="e">
        <f>ROUND(#REF!+(#REF!*6/100),2)</f>
        <v>#REF!</v>
      </c>
      <c r="N23" s="65" t="s">
        <v>13</v>
      </c>
      <c r="O23" s="46" t="s">
        <v>24</v>
      </c>
      <c r="P23" s="43"/>
      <c r="Q23" s="47">
        <v>100</v>
      </c>
      <c r="R23" s="85">
        <f>ROUNDUP(Q23*0.75,2)</f>
        <v>75</v>
      </c>
    </row>
    <row r="24" spans="1:18" ht="18.95" customHeight="1">
      <c r="A24" s="244"/>
      <c r="B24" s="65"/>
      <c r="C24" s="42" t="s">
        <v>80</v>
      </c>
      <c r="D24" s="43"/>
      <c r="E24" s="44">
        <v>0.5</v>
      </c>
      <c r="F24" s="45" t="s">
        <v>16</v>
      </c>
      <c r="G24" s="69" t="s">
        <v>81</v>
      </c>
      <c r="H24" s="73" t="s">
        <v>80</v>
      </c>
      <c r="I24" s="43"/>
      <c r="J24" s="45">
        <f>ROUNDUP(E24*0.75,2)</f>
        <v>0.38</v>
      </c>
      <c r="K24" s="45" t="s">
        <v>16</v>
      </c>
      <c r="L24" s="45" t="s">
        <v>81</v>
      </c>
      <c r="M24" s="77" t="e">
        <f>#REF!</f>
        <v>#REF!</v>
      </c>
      <c r="N24" s="65"/>
      <c r="O24" s="46" t="s">
        <v>94</v>
      </c>
      <c r="P24" s="43"/>
      <c r="Q24" s="47">
        <v>3</v>
      </c>
      <c r="R24" s="85">
        <f>ROUNDUP(Q24*0.75,2)</f>
        <v>2.25</v>
      </c>
    </row>
    <row r="25" spans="1:18" ht="18.95" customHeight="1">
      <c r="A25" s="244"/>
      <c r="B25" s="66"/>
      <c r="C25" s="49"/>
      <c r="D25" s="50"/>
      <c r="E25" s="51"/>
      <c r="F25" s="52"/>
      <c r="G25" s="70"/>
      <c r="H25" s="74"/>
      <c r="I25" s="50"/>
      <c r="J25" s="52"/>
      <c r="K25" s="52"/>
      <c r="L25" s="52"/>
      <c r="M25" s="78"/>
      <c r="N25" s="66"/>
      <c r="O25" s="53"/>
      <c r="P25" s="50"/>
      <c r="Q25" s="54"/>
      <c r="R25" s="86"/>
    </row>
    <row r="26" spans="1:18" ht="18.95" customHeight="1">
      <c r="A26" s="244"/>
      <c r="B26" s="65" t="s">
        <v>34</v>
      </c>
      <c r="C26" s="42" t="s">
        <v>36</v>
      </c>
      <c r="D26" s="43"/>
      <c r="E26" s="55">
        <v>0.16666666666666666</v>
      </c>
      <c r="F26" s="45" t="s">
        <v>23</v>
      </c>
      <c r="G26" s="69"/>
      <c r="H26" s="73" t="s">
        <v>36</v>
      </c>
      <c r="I26" s="43"/>
      <c r="J26" s="45">
        <f>ROUNDUP(E26*0.75,2)</f>
        <v>0.13</v>
      </c>
      <c r="K26" s="45" t="s">
        <v>23</v>
      </c>
      <c r="L26" s="45"/>
      <c r="M26" s="77" t="e">
        <f>#REF!</f>
        <v>#REF!</v>
      </c>
      <c r="N26" s="65" t="s">
        <v>35</v>
      </c>
      <c r="O26" s="46"/>
      <c r="P26" s="43"/>
      <c r="Q26" s="47"/>
      <c r="R26" s="85"/>
    </row>
    <row r="27" spans="1:18" ht="18.95" customHeight="1" thickBot="1">
      <c r="A27" s="245"/>
      <c r="B27" s="67"/>
      <c r="C27" s="56"/>
      <c r="D27" s="57"/>
      <c r="E27" s="58"/>
      <c r="F27" s="59"/>
      <c r="G27" s="71"/>
      <c r="H27" s="75"/>
      <c r="I27" s="57"/>
      <c r="J27" s="59"/>
      <c r="K27" s="59"/>
      <c r="L27" s="59"/>
      <c r="M27" s="79"/>
      <c r="N27" s="67"/>
      <c r="O27" s="60"/>
      <c r="P27" s="57"/>
      <c r="Q27" s="61"/>
      <c r="R27" s="87"/>
    </row>
  </sheetData>
  <mergeCells count="4">
    <mergeCell ref="H1:N1"/>
    <mergeCell ref="A2:R2"/>
    <mergeCell ref="A3:F3"/>
    <mergeCell ref="A5:A27"/>
  </mergeCells>
  <phoneticPr fontId="17"/>
  <printOptions horizontalCentered="1" verticalCentered="1"/>
  <pageMargins left="0.39370078740157483" right="0.39370078740157483" top="0.39370078740157483" bottom="0.39370078740157483" header="0.39370078740157483" footer="0.39370078740157483"/>
  <pageSetup paperSize="12" scale="5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5"/>
  <sheetViews>
    <sheetView showZeros="0" zoomScale="60" zoomScaleNormal="60" zoomScaleSheetLayoutView="80" workbookViewId="0"/>
  </sheetViews>
  <sheetFormatPr defaultRowHeight="18.75" customHeight="1"/>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c r="A1" s="1" t="s">
        <v>12</v>
      </c>
      <c r="B1" s="1"/>
      <c r="C1" s="2"/>
      <c r="D1" s="3"/>
      <c r="E1" s="2"/>
      <c r="F1" s="2"/>
      <c r="G1" s="2"/>
      <c r="H1" s="239"/>
      <c r="I1" s="239"/>
      <c r="J1" s="240"/>
      <c r="K1" s="240"/>
      <c r="L1" s="240"/>
      <c r="M1" s="240"/>
      <c r="N1" s="240"/>
      <c r="O1" s="2"/>
      <c r="P1" s="2"/>
      <c r="Q1" s="4"/>
      <c r="R1" s="4"/>
      <c r="S1" s="3"/>
    </row>
    <row r="2" spans="1:19" ht="36.75" customHeight="1">
      <c r="A2" s="239" t="s">
        <v>0</v>
      </c>
      <c r="B2" s="239"/>
      <c r="C2" s="240"/>
      <c r="D2" s="240"/>
      <c r="E2" s="240"/>
      <c r="F2" s="240"/>
      <c r="G2" s="240"/>
      <c r="H2" s="240"/>
      <c r="I2" s="240"/>
      <c r="J2" s="240"/>
      <c r="K2" s="240"/>
      <c r="L2" s="240"/>
      <c r="M2" s="240"/>
      <c r="N2" s="240"/>
      <c r="O2" s="240"/>
      <c r="P2" s="240"/>
      <c r="Q2" s="240"/>
      <c r="R2" s="240"/>
      <c r="S2" s="3"/>
    </row>
    <row r="3" spans="1:19" ht="27.75" customHeight="1" thickBot="1">
      <c r="A3" s="241" t="s">
        <v>185</v>
      </c>
      <c r="B3" s="242"/>
      <c r="C3" s="242"/>
      <c r="D3" s="242"/>
      <c r="E3" s="242"/>
      <c r="F3" s="242"/>
      <c r="G3" s="2"/>
      <c r="H3" s="2"/>
      <c r="I3" s="12"/>
      <c r="J3" s="2"/>
      <c r="K3" s="7"/>
      <c r="L3" s="7"/>
      <c r="M3" s="10"/>
      <c r="N3" s="2"/>
      <c r="O3" s="13"/>
      <c r="P3" s="12"/>
      <c r="Q3" s="14"/>
      <c r="R3" s="14"/>
      <c r="S3" s="11"/>
    </row>
    <row r="4" spans="1:19" customFormat="1" ht="42" customHeight="1" thickBot="1">
      <c r="A4" s="15"/>
      <c r="B4" s="16" t="s">
        <v>1</v>
      </c>
      <c r="C4" s="17" t="s">
        <v>2</v>
      </c>
      <c r="D4" s="18" t="s">
        <v>281</v>
      </c>
      <c r="E4" s="34" t="s">
        <v>6</v>
      </c>
      <c r="F4" s="19" t="s">
        <v>4</v>
      </c>
      <c r="G4" s="17" t="s">
        <v>5</v>
      </c>
      <c r="H4" s="16" t="s">
        <v>2</v>
      </c>
      <c r="I4" s="18" t="s">
        <v>281</v>
      </c>
      <c r="J4" s="35" t="s">
        <v>3</v>
      </c>
      <c r="K4" s="19" t="s">
        <v>4</v>
      </c>
      <c r="L4" s="19" t="s">
        <v>5</v>
      </c>
      <c r="M4" s="21" t="s">
        <v>7</v>
      </c>
      <c r="N4" s="22" t="s">
        <v>8</v>
      </c>
      <c r="O4" s="19" t="s">
        <v>9</v>
      </c>
      <c r="P4" s="23" t="s">
        <v>281</v>
      </c>
      <c r="Q4" s="20" t="s">
        <v>11</v>
      </c>
      <c r="R4" s="24" t="s">
        <v>10</v>
      </c>
      <c r="S4" s="25"/>
    </row>
    <row r="5" spans="1:19" ht="21.95" customHeight="1">
      <c r="A5" s="243" t="s">
        <v>37</v>
      </c>
      <c r="B5" s="64" t="s">
        <v>53</v>
      </c>
      <c r="C5" s="36"/>
      <c r="D5" s="37"/>
      <c r="E5" s="38"/>
      <c r="F5" s="39"/>
      <c r="G5" s="68"/>
      <c r="H5" s="72"/>
      <c r="I5" s="37"/>
      <c r="J5" s="39"/>
      <c r="K5" s="39"/>
      <c r="L5" s="39"/>
      <c r="M5" s="76"/>
      <c r="N5" s="64"/>
      <c r="O5" s="40" t="s">
        <v>53</v>
      </c>
      <c r="P5" s="37"/>
      <c r="Q5" s="41">
        <v>110</v>
      </c>
      <c r="R5" s="84">
        <f>ROUNDUP(Q5*0.75,2)</f>
        <v>82.5</v>
      </c>
    </row>
    <row r="6" spans="1:19" ht="21.95" customHeight="1">
      <c r="A6" s="244"/>
      <c r="B6" s="66"/>
      <c r="C6" s="49"/>
      <c r="D6" s="50"/>
      <c r="E6" s="51"/>
      <c r="F6" s="52"/>
      <c r="G6" s="70"/>
      <c r="H6" s="74"/>
      <c r="I6" s="50"/>
      <c r="J6" s="52"/>
      <c r="K6" s="52"/>
      <c r="L6" s="52"/>
      <c r="M6" s="78"/>
      <c r="N6" s="66"/>
      <c r="O6" s="53"/>
      <c r="P6" s="50"/>
      <c r="Q6" s="54"/>
      <c r="R6" s="86"/>
    </row>
    <row r="7" spans="1:19" ht="21.95" customHeight="1">
      <c r="A7" s="244"/>
      <c r="B7" s="65" t="s">
        <v>186</v>
      </c>
      <c r="C7" s="42" t="s">
        <v>74</v>
      </c>
      <c r="D7" s="43"/>
      <c r="E7" s="44">
        <v>50</v>
      </c>
      <c r="F7" s="45" t="s">
        <v>16</v>
      </c>
      <c r="G7" s="69"/>
      <c r="H7" s="73" t="s">
        <v>74</v>
      </c>
      <c r="I7" s="43"/>
      <c r="J7" s="45">
        <f>ROUNDUP(E7*0.75,2)</f>
        <v>37.5</v>
      </c>
      <c r="K7" s="45" t="s">
        <v>16</v>
      </c>
      <c r="L7" s="45"/>
      <c r="M7" s="77" t="e">
        <f>ROUND(#REF!+(#REF!*10/100),2)</f>
        <v>#REF!</v>
      </c>
      <c r="N7" s="65" t="s">
        <v>187</v>
      </c>
      <c r="O7" s="46" t="s">
        <v>32</v>
      </c>
      <c r="P7" s="43"/>
      <c r="Q7" s="47">
        <v>1</v>
      </c>
      <c r="R7" s="85">
        <f t="shared" ref="R7:R13" si="0">ROUNDUP(Q7*0.75,2)</f>
        <v>0.75</v>
      </c>
    </row>
    <row r="8" spans="1:19" ht="21.95" customHeight="1">
      <c r="A8" s="244"/>
      <c r="B8" s="65"/>
      <c r="C8" s="42" t="s">
        <v>56</v>
      </c>
      <c r="D8" s="43"/>
      <c r="E8" s="44">
        <v>20</v>
      </c>
      <c r="F8" s="45" t="s">
        <v>16</v>
      </c>
      <c r="G8" s="69"/>
      <c r="H8" s="73" t="s">
        <v>56</v>
      </c>
      <c r="I8" s="43"/>
      <c r="J8" s="45">
        <f>ROUNDUP(E8*0.75,2)</f>
        <v>15</v>
      </c>
      <c r="K8" s="45" t="s">
        <v>16</v>
      </c>
      <c r="L8" s="45"/>
      <c r="M8" s="77" t="e">
        <f>ROUND(#REF!+(#REF!*6/100),2)</f>
        <v>#REF!</v>
      </c>
      <c r="N8" s="65" t="s">
        <v>188</v>
      </c>
      <c r="O8" s="46" t="s">
        <v>26</v>
      </c>
      <c r="P8" s="43"/>
      <c r="Q8" s="47">
        <v>0.1</v>
      </c>
      <c r="R8" s="85">
        <f t="shared" si="0"/>
        <v>0.08</v>
      </c>
    </row>
    <row r="9" spans="1:19" ht="21.95" customHeight="1">
      <c r="A9" s="244"/>
      <c r="B9" s="65"/>
      <c r="C9" s="42" t="s">
        <v>82</v>
      </c>
      <c r="D9" s="43"/>
      <c r="E9" s="44">
        <v>20</v>
      </c>
      <c r="F9" s="45" t="s">
        <v>16</v>
      </c>
      <c r="G9" s="69" t="s">
        <v>83</v>
      </c>
      <c r="H9" s="73" t="s">
        <v>82</v>
      </c>
      <c r="I9" s="43"/>
      <c r="J9" s="45">
        <f>ROUNDUP(E9*0.75,2)</f>
        <v>15</v>
      </c>
      <c r="K9" s="45" t="s">
        <v>16</v>
      </c>
      <c r="L9" s="45" t="s">
        <v>83</v>
      </c>
      <c r="M9" s="77" t="e">
        <f>#REF!</f>
        <v>#REF!</v>
      </c>
      <c r="N9" s="65" t="s">
        <v>266</v>
      </c>
      <c r="O9" s="46" t="s">
        <v>108</v>
      </c>
      <c r="P9" s="43"/>
      <c r="Q9" s="47">
        <v>0.01</v>
      </c>
      <c r="R9" s="85">
        <f t="shared" si="0"/>
        <v>0.01</v>
      </c>
    </row>
    <row r="10" spans="1:19" ht="21.95" customHeight="1">
      <c r="A10" s="244"/>
      <c r="B10" s="65"/>
      <c r="C10" s="42" t="s">
        <v>106</v>
      </c>
      <c r="D10" s="43" t="s">
        <v>15</v>
      </c>
      <c r="E10" s="44">
        <v>6</v>
      </c>
      <c r="F10" s="45" t="s">
        <v>16</v>
      </c>
      <c r="G10" s="69" t="s">
        <v>107</v>
      </c>
      <c r="H10" s="73" t="s">
        <v>106</v>
      </c>
      <c r="I10" s="43" t="s">
        <v>15</v>
      </c>
      <c r="J10" s="45">
        <f>ROUNDUP(E10*0.75,2)</f>
        <v>4.5</v>
      </c>
      <c r="K10" s="45" t="s">
        <v>16</v>
      </c>
      <c r="L10" s="45" t="s">
        <v>107</v>
      </c>
      <c r="M10" s="77" t="e">
        <f>#REF!</f>
        <v>#REF!</v>
      </c>
      <c r="N10" s="65" t="s">
        <v>267</v>
      </c>
      <c r="O10" s="46" t="s">
        <v>48</v>
      </c>
      <c r="P10" s="43" t="s">
        <v>15</v>
      </c>
      <c r="Q10" s="47">
        <v>4</v>
      </c>
      <c r="R10" s="85">
        <f t="shared" si="0"/>
        <v>3</v>
      </c>
    </row>
    <row r="11" spans="1:19" ht="21.95" customHeight="1">
      <c r="A11" s="244"/>
      <c r="B11" s="65"/>
      <c r="C11" s="42" t="s">
        <v>45</v>
      </c>
      <c r="D11" s="43"/>
      <c r="E11" s="44">
        <v>20</v>
      </c>
      <c r="F11" s="45" t="s">
        <v>16</v>
      </c>
      <c r="G11" s="69"/>
      <c r="H11" s="73" t="s">
        <v>45</v>
      </c>
      <c r="I11" s="43"/>
      <c r="J11" s="45">
        <f>ROUNDUP(E11*0.75,2)</f>
        <v>15</v>
      </c>
      <c r="K11" s="45" t="s">
        <v>16</v>
      </c>
      <c r="L11" s="45"/>
      <c r="M11" s="77" t="e">
        <f>ROUND(#REF!+(#REF!*15/100),2)</f>
        <v>#REF!</v>
      </c>
      <c r="N11" s="65" t="s">
        <v>189</v>
      </c>
      <c r="O11" s="46" t="s">
        <v>48</v>
      </c>
      <c r="P11" s="43" t="s">
        <v>15</v>
      </c>
      <c r="Q11" s="47">
        <v>4</v>
      </c>
      <c r="R11" s="85">
        <f t="shared" si="0"/>
        <v>3</v>
      </c>
    </row>
    <row r="12" spans="1:19" ht="21.95" customHeight="1">
      <c r="A12" s="244"/>
      <c r="B12" s="65"/>
      <c r="C12" s="42"/>
      <c r="D12" s="43"/>
      <c r="E12" s="44"/>
      <c r="F12" s="45"/>
      <c r="G12" s="69"/>
      <c r="H12" s="73"/>
      <c r="I12" s="43"/>
      <c r="J12" s="45"/>
      <c r="K12" s="45"/>
      <c r="L12" s="45"/>
      <c r="M12" s="77"/>
      <c r="N12" s="65" t="s">
        <v>29</v>
      </c>
      <c r="O12" s="46" t="s">
        <v>49</v>
      </c>
      <c r="P12" s="43"/>
      <c r="Q12" s="47">
        <v>8</v>
      </c>
      <c r="R12" s="85">
        <f t="shared" si="0"/>
        <v>6</v>
      </c>
    </row>
    <row r="13" spans="1:19" ht="21.95" customHeight="1">
      <c r="A13" s="244"/>
      <c r="B13" s="65"/>
      <c r="C13" s="42"/>
      <c r="D13" s="43"/>
      <c r="E13" s="44"/>
      <c r="F13" s="45"/>
      <c r="G13" s="69"/>
      <c r="H13" s="73"/>
      <c r="I13" s="43"/>
      <c r="J13" s="45"/>
      <c r="K13" s="45"/>
      <c r="L13" s="45"/>
      <c r="M13" s="77"/>
      <c r="N13" s="65"/>
      <c r="O13" s="46" t="s">
        <v>32</v>
      </c>
      <c r="P13" s="43"/>
      <c r="Q13" s="47">
        <v>5</v>
      </c>
      <c r="R13" s="85">
        <f t="shared" si="0"/>
        <v>3.75</v>
      </c>
    </row>
    <row r="14" spans="1:19" ht="21.95" customHeight="1">
      <c r="A14" s="244"/>
      <c r="B14" s="66"/>
      <c r="C14" s="49"/>
      <c r="D14" s="50"/>
      <c r="E14" s="51"/>
      <c r="F14" s="52"/>
      <c r="G14" s="70"/>
      <c r="H14" s="74"/>
      <c r="I14" s="50"/>
      <c r="J14" s="52"/>
      <c r="K14" s="52"/>
      <c r="L14" s="52"/>
      <c r="M14" s="78"/>
      <c r="N14" s="66"/>
      <c r="O14" s="53"/>
      <c r="P14" s="50"/>
      <c r="Q14" s="54"/>
      <c r="R14" s="86"/>
    </row>
    <row r="15" spans="1:19" ht="21.95" customHeight="1">
      <c r="A15" s="244"/>
      <c r="B15" s="65" t="s">
        <v>190</v>
      </c>
      <c r="C15" s="42" t="s">
        <v>122</v>
      </c>
      <c r="D15" s="43"/>
      <c r="E15" s="44">
        <v>20</v>
      </c>
      <c r="F15" s="45" t="s">
        <v>16</v>
      </c>
      <c r="G15" s="69" t="s">
        <v>18</v>
      </c>
      <c r="H15" s="73" t="s">
        <v>122</v>
      </c>
      <c r="I15" s="43"/>
      <c r="J15" s="45">
        <f>ROUNDUP(E15*0.75,2)</f>
        <v>15</v>
      </c>
      <c r="K15" s="45" t="s">
        <v>16</v>
      </c>
      <c r="L15" s="45" t="s">
        <v>18</v>
      </c>
      <c r="M15" s="77" t="e">
        <f>#REF!</f>
        <v>#REF!</v>
      </c>
      <c r="N15" s="65" t="s">
        <v>191</v>
      </c>
      <c r="O15" s="46" t="s">
        <v>33</v>
      </c>
      <c r="P15" s="43"/>
      <c r="Q15" s="47">
        <v>0.3</v>
      </c>
      <c r="R15" s="85">
        <f>ROUNDUP(Q15*0.75,2)</f>
        <v>0.23</v>
      </c>
    </row>
    <row r="16" spans="1:19" ht="21.95" customHeight="1">
      <c r="A16" s="244"/>
      <c r="B16" s="65"/>
      <c r="C16" s="42" t="s">
        <v>159</v>
      </c>
      <c r="D16" s="43"/>
      <c r="E16" s="44">
        <v>10</v>
      </c>
      <c r="F16" s="45" t="s">
        <v>16</v>
      </c>
      <c r="G16" s="69"/>
      <c r="H16" s="73" t="s">
        <v>159</v>
      </c>
      <c r="I16" s="43"/>
      <c r="J16" s="45">
        <f>ROUNDUP(E16*0.75,2)</f>
        <v>7.5</v>
      </c>
      <c r="K16" s="45" t="s">
        <v>16</v>
      </c>
      <c r="L16" s="45"/>
      <c r="M16" s="77" t="e">
        <f>ROUND(#REF!+(#REF!*2/100),2)</f>
        <v>#REF!</v>
      </c>
      <c r="N16" s="65" t="s">
        <v>114</v>
      </c>
      <c r="O16" s="46" t="s">
        <v>50</v>
      </c>
      <c r="P16" s="43" t="s">
        <v>51</v>
      </c>
      <c r="Q16" s="47">
        <v>2</v>
      </c>
      <c r="R16" s="85">
        <f>ROUNDUP(Q16*0.75,2)</f>
        <v>1.5</v>
      </c>
    </row>
    <row r="17" spans="1:18" ht="21.95" customHeight="1">
      <c r="A17" s="244"/>
      <c r="B17" s="65"/>
      <c r="C17" s="42" t="s">
        <v>20</v>
      </c>
      <c r="D17" s="43"/>
      <c r="E17" s="44">
        <v>10</v>
      </c>
      <c r="F17" s="45" t="s">
        <v>16</v>
      </c>
      <c r="G17" s="69"/>
      <c r="H17" s="73" t="s">
        <v>20</v>
      </c>
      <c r="I17" s="43"/>
      <c r="J17" s="45">
        <f>ROUNDUP(E17*0.75,2)</f>
        <v>7.5</v>
      </c>
      <c r="K17" s="45" t="s">
        <v>16</v>
      </c>
      <c r="L17" s="45"/>
      <c r="M17" s="77" t="e">
        <f>ROUND(#REF!+(#REF!*3/100),2)</f>
        <v>#REF!</v>
      </c>
      <c r="N17" s="65" t="s">
        <v>52</v>
      </c>
      <c r="O17" s="46" t="s">
        <v>76</v>
      </c>
      <c r="P17" s="43"/>
      <c r="Q17" s="47">
        <v>2</v>
      </c>
      <c r="R17" s="85">
        <f>ROUNDUP(Q17*0.75,2)</f>
        <v>1.5</v>
      </c>
    </row>
    <row r="18" spans="1:18" ht="21.95" customHeight="1">
      <c r="A18" s="244"/>
      <c r="B18" s="65"/>
      <c r="C18" s="42"/>
      <c r="D18" s="43"/>
      <c r="E18" s="44"/>
      <c r="F18" s="45"/>
      <c r="G18" s="69"/>
      <c r="H18" s="73"/>
      <c r="I18" s="43"/>
      <c r="J18" s="45"/>
      <c r="K18" s="45"/>
      <c r="L18" s="45"/>
      <c r="M18" s="77"/>
      <c r="N18" s="65" t="s">
        <v>13</v>
      </c>
      <c r="O18" s="46"/>
      <c r="P18" s="43"/>
      <c r="Q18" s="47"/>
      <c r="R18" s="85"/>
    </row>
    <row r="19" spans="1:18" ht="21.95" customHeight="1">
      <c r="A19" s="244"/>
      <c r="B19" s="66"/>
      <c r="C19" s="49"/>
      <c r="D19" s="50"/>
      <c r="E19" s="51"/>
      <c r="F19" s="52"/>
      <c r="G19" s="70"/>
      <c r="H19" s="74"/>
      <c r="I19" s="50"/>
      <c r="J19" s="52"/>
      <c r="K19" s="52"/>
      <c r="L19" s="52"/>
      <c r="M19" s="78"/>
      <c r="N19" s="66"/>
      <c r="O19" s="53"/>
      <c r="P19" s="50"/>
      <c r="Q19" s="54"/>
      <c r="R19" s="86"/>
    </row>
    <row r="20" spans="1:18" ht="21.95" customHeight="1">
      <c r="A20" s="244"/>
      <c r="B20" s="65" t="s">
        <v>92</v>
      </c>
      <c r="C20" s="42" t="s">
        <v>171</v>
      </c>
      <c r="D20" s="43" t="s">
        <v>15</v>
      </c>
      <c r="E20" s="63">
        <v>0.1</v>
      </c>
      <c r="F20" s="45" t="s">
        <v>63</v>
      </c>
      <c r="G20" s="69"/>
      <c r="H20" s="73" t="s">
        <v>171</v>
      </c>
      <c r="I20" s="43" t="s">
        <v>15</v>
      </c>
      <c r="J20" s="45">
        <f>ROUNDUP(E20*0.75,2)</f>
        <v>0.08</v>
      </c>
      <c r="K20" s="45" t="s">
        <v>63</v>
      </c>
      <c r="L20" s="45"/>
      <c r="M20" s="77"/>
      <c r="N20" s="65" t="s">
        <v>13</v>
      </c>
      <c r="O20" s="46" t="s">
        <v>24</v>
      </c>
      <c r="P20" s="43"/>
      <c r="Q20" s="47">
        <v>100</v>
      </c>
      <c r="R20" s="85">
        <f>ROUNDUP(Q20*0.75,2)</f>
        <v>75</v>
      </c>
    </row>
    <row r="21" spans="1:18" ht="21.95" customHeight="1">
      <c r="A21" s="244"/>
      <c r="B21" s="65"/>
      <c r="C21" s="42" t="s">
        <v>192</v>
      </c>
      <c r="D21" s="43"/>
      <c r="E21" s="44">
        <v>5</v>
      </c>
      <c r="F21" s="45" t="s">
        <v>16</v>
      </c>
      <c r="G21" s="69"/>
      <c r="H21" s="73" t="s">
        <v>192</v>
      </c>
      <c r="I21" s="43"/>
      <c r="J21" s="45">
        <f>ROUNDUP(E21*0.75,2)</f>
        <v>3.75</v>
      </c>
      <c r="K21" s="45" t="s">
        <v>16</v>
      </c>
      <c r="L21" s="45"/>
      <c r="M21" s="77" t="e">
        <f>ROUND(#REF!+(#REF!*10/100),2)</f>
        <v>#REF!</v>
      </c>
      <c r="N21" s="65"/>
      <c r="O21" s="46" t="s">
        <v>94</v>
      </c>
      <c r="P21" s="43"/>
      <c r="Q21" s="47">
        <v>3</v>
      </c>
      <c r="R21" s="85">
        <f>ROUNDUP(Q21*0.75,2)</f>
        <v>2.25</v>
      </c>
    </row>
    <row r="22" spans="1:18" ht="21.95" customHeight="1" thickBot="1">
      <c r="A22" s="245"/>
      <c r="B22" s="67"/>
      <c r="C22" s="56"/>
      <c r="D22" s="57"/>
      <c r="E22" s="58"/>
      <c r="F22" s="59"/>
      <c r="G22" s="71"/>
      <c r="H22" s="75"/>
      <c r="I22" s="57"/>
      <c r="J22" s="59"/>
      <c r="K22" s="59"/>
      <c r="L22" s="59"/>
      <c r="M22" s="79"/>
      <c r="N22" s="67"/>
      <c r="O22" s="60"/>
      <c r="P22" s="57"/>
      <c r="Q22" s="61"/>
      <c r="R22" s="87"/>
    </row>
    <row r="23" spans="1:18" ht="21.95" customHeight="1"/>
    <row r="24" spans="1:18" ht="21.95" customHeight="1"/>
    <row r="25" spans="1:18" ht="21.95" customHeight="1"/>
  </sheetData>
  <mergeCells count="4">
    <mergeCell ref="H1:N1"/>
    <mergeCell ref="A2:R2"/>
    <mergeCell ref="A3:F3"/>
    <mergeCell ref="A5:A22"/>
  </mergeCells>
  <phoneticPr fontId="17"/>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6"/>
  <sheetViews>
    <sheetView showZeros="0" zoomScale="60" zoomScaleNormal="60" zoomScaleSheetLayoutView="80" workbookViewId="0"/>
  </sheetViews>
  <sheetFormatPr defaultRowHeight="18.75" customHeight="1"/>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26" ht="36.75" customHeight="1">
      <c r="A1" s="1" t="s">
        <v>12</v>
      </c>
      <c r="B1" s="1"/>
      <c r="C1" s="2"/>
      <c r="D1" s="3"/>
      <c r="E1" s="2"/>
      <c r="F1" s="2"/>
      <c r="G1" s="2"/>
      <c r="H1" s="239"/>
      <c r="I1" s="239"/>
      <c r="J1" s="240"/>
      <c r="K1" s="240"/>
      <c r="L1" s="240"/>
      <c r="M1" s="240"/>
      <c r="N1" s="240"/>
      <c r="O1" s="2"/>
      <c r="P1" s="2"/>
      <c r="Q1" s="4"/>
      <c r="R1" s="4"/>
      <c r="S1" s="3"/>
    </row>
    <row r="2" spans="1:26" ht="36.75" customHeight="1">
      <c r="A2" s="239" t="s">
        <v>0</v>
      </c>
      <c r="B2" s="239"/>
      <c r="C2" s="240"/>
      <c r="D2" s="240"/>
      <c r="E2" s="240"/>
      <c r="F2" s="240"/>
      <c r="G2" s="240"/>
      <c r="H2" s="240"/>
      <c r="I2" s="240"/>
      <c r="J2" s="240"/>
      <c r="K2" s="240"/>
      <c r="L2" s="240"/>
      <c r="M2" s="240"/>
      <c r="N2" s="240"/>
      <c r="O2" s="240"/>
      <c r="P2" s="240"/>
      <c r="Q2" s="240"/>
      <c r="R2" s="240"/>
      <c r="S2" s="3"/>
    </row>
    <row r="3" spans="1:26" ht="22.5" customHeight="1">
      <c r="A3" s="5"/>
      <c r="B3" s="247" t="s">
        <v>270</v>
      </c>
      <c r="C3" s="247"/>
      <c r="D3" s="3"/>
      <c r="E3" s="6"/>
      <c r="F3" s="2"/>
      <c r="G3" s="2"/>
      <c r="H3" s="2"/>
      <c r="I3" s="3"/>
      <c r="J3" s="2"/>
      <c r="K3" s="7"/>
      <c r="L3" s="7"/>
      <c r="M3" s="8"/>
      <c r="N3" s="2"/>
      <c r="O3" s="3"/>
      <c r="P3"/>
      <c r="Q3"/>
      <c r="R3"/>
      <c r="S3"/>
      <c r="V3" s="3"/>
      <c r="W3" s="3"/>
      <c r="X3" s="3"/>
      <c r="Y3" s="3"/>
      <c r="Z3" s="3"/>
    </row>
    <row r="4" spans="1:26" ht="22.5" customHeight="1">
      <c r="A4" s="5"/>
      <c r="B4" s="247"/>
      <c r="C4" s="247"/>
      <c r="D4" s="9"/>
      <c r="E4" s="6"/>
      <c r="F4" s="2"/>
      <c r="G4" s="2"/>
      <c r="H4" s="2"/>
      <c r="I4" s="9"/>
      <c r="J4" s="2"/>
      <c r="K4" s="7"/>
      <c r="L4" s="7"/>
      <c r="M4" s="8"/>
      <c r="N4" s="2"/>
      <c r="O4" s="3"/>
      <c r="P4"/>
      <c r="Q4"/>
      <c r="R4"/>
      <c r="S4"/>
      <c r="V4" s="3"/>
      <c r="W4" s="3"/>
      <c r="X4" s="3"/>
      <c r="Y4" s="3"/>
      <c r="Z4" s="3"/>
    </row>
    <row r="5" spans="1:26" ht="33" thickBot="1">
      <c r="A5" s="241" t="s">
        <v>193</v>
      </c>
      <c r="B5" s="242"/>
      <c r="C5" s="242"/>
      <c r="D5" s="242"/>
      <c r="E5" s="242"/>
      <c r="F5" s="242"/>
      <c r="G5" s="2"/>
      <c r="H5" s="2"/>
      <c r="I5" s="12"/>
      <c r="J5" s="2"/>
      <c r="K5" s="7"/>
      <c r="L5" s="7"/>
      <c r="M5" s="10"/>
      <c r="N5" s="2"/>
      <c r="O5" s="13"/>
      <c r="P5" s="12"/>
      <c r="Q5" s="14"/>
      <c r="R5" s="14"/>
      <c r="S5" s="11"/>
    </row>
    <row r="6" spans="1:26" customFormat="1" ht="48" customHeight="1" thickBot="1">
      <c r="A6" s="15"/>
      <c r="B6" s="16" t="s">
        <v>1</v>
      </c>
      <c r="C6" s="17" t="s">
        <v>2</v>
      </c>
      <c r="D6" s="18" t="s">
        <v>281</v>
      </c>
      <c r="E6" s="34" t="s">
        <v>6</v>
      </c>
      <c r="F6" s="19" t="s">
        <v>4</v>
      </c>
      <c r="G6" s="17" t="s">
        <v>5</v>
      </c>
      <c r="H6" s="16" t="s">
        <v>2</v>
      </c>
      <c r="I6" s="18" t="s">
        <v>281</v>
      </c>
      <c r="J6" s="35" t="s">
        <v>3</v>
      </c>
      <c r="K6" s="19" t="s">
        <v>4</v>
      </c>
      <c r="L6" s="19" t="s">
        <v>5</v>
      </c>
      <c r="M6" s="21" t="s">
        <v>7</v>
      </c>
      <c r="N6" s="22" t="s">
        <v>8</v>
      </c>
      <c r="O6" s="19" t="s">
        <v>9</v>
      </c>
      <c r="P6" s="23" t="s">
        <v>281</v>
      </c>
      <c r="Q6" s="20" t="s">
        <v>11</v>
      </c>
      <c r="R6" s="24" t="s">
        <v>10</v>
      </c>
      <c r="S6" s="25"/>
    </row>
    <row r="7" spans="1:26" ht="21.95" customHeight="1">
      <c r="A7" s="243" t="s">
        <v>37</v>
      </c>
      <c r="B7" s="64" t="s">
        <v>194</v>
      </c>
      <c r="C7" s="36" t="s">
        <v>62</v>
      </c>
      <c r="D7" s="37"/>
      <c r="E7" s="82">
        <v>0.25</v>
      </c>
      <c r="F7" s="39" t="s">
        <v>63</v>
      </c>
      <c r="G7" s="68" t="s">
        <v>18</v>
      </c>
      <c r="H7" s="72" t="s">
        <v>62</v>
      </c>
      <c r="I7" s="37"/>
      <c r="J7" s="39">
        <f>ROUNDUP(E7*0.75,2)</f>
        <v>0.19</v>
      </c>
      <c r="K7" s="39" t="s">
        <v>63</v>
      </c>
      <c r="L7" s="39" t="s">
        <v>18</v>
      </c>
      <c r="M7" s="76" t="e">
        <f>#REF!</f>
        <v>#REF!</v>
      </c>
      <c r="N7" s="64" t="s">
        <v>279</v>
      </c>
      <c r="O7" s="40" t="s">
        <v>53</v>
      </c>
      <c r="P7" s="37"/>
      <c r="Q7" s="41">
        <v>110</v>
      </c>
      <c r="R7" s="84">
        <f>ROUNDUP(Q7*0.75,2)</f>
        <v>82.5</v>
      </c>
    </row>
    <row r="8" spans="1:26" ht="21.95" customHeight="1">
      <c r="A8" s="244"/>
      <c r="B8" s="65"/>
      <c r="C8" s="42"/>
      <c r="D8" s="43"/>
      <c r="E8" s="44"/>
      <c r="F8" s="45"/>
      <c r="G8" s="69"/>
      <c r="H8" s="73"/>
      <c r="I8" s="43"/>
      <c r="J8" s="45"/>
      <c r="K8" s="45"/>
      <c r="L8" s="45"/>
      <c r="M8" s="77"/>
      <c r="N8" s="65" t="s">
        <v>13</v>
      </c>
      <c r="O8" s="46" t="s">
        <v>27</v>
      </c>
      <c r="P8" s="43" t="s">
        <v>15</v>
      </c>
      <c r="Q8" s="47">
        <v>1</v>
      </c>
      <c r="R8" s="85">
        <f>ROUNDUP(Q8*0.75,2)</f>
        <v>0.75</v>
      </c>
    </row>
    <row r="9" spans="1:26" ht="21.95" customHeight="1">
      <c r="A9" s="244"/>
      <c r="B9" s="66"/>
      <c r="C9" s="49"/>
      <c r="D9" s="50"/>
      <c r="E9" s="51"/>
      <c r="F9" s="52"/>
      <c r="G9" s="70"/>
      <c r="H9" s="74"/>
      <c r="I9" s="50"/>
      <c r="J9" s="52"/>
      <c r="K9" s="52"/>
      <c r="L9" s="52"/>
      <c r="M9" s="78"/>
      <c r="N9" s="66"/>
      <c r="O9" s="53"/>
      <c r="P9" s="50"/>
      <c r="Q9" s="54"/>
      <c r="R9" s="86"/>
    </row>
    <row r="10" spans="1:26" ht="21.95" customHeight="1">
      <c r="A10" s="244"/>
      <c r="B10" s="65" t="s">
        <v>195</v>
      </c>
      <c r="C10" s="42" t="s">
        <v>17</v>
      </c>
      <c r="D10" s="43"/>
      <c r="E10" s="44">
        <v>40</v>
      </c>
      <c r="F10" s="45" t="s">
        <v>16</v>
      </c>
      <c r="G10" s="69" t="s">
        <v>18</v>
      </c>
      <c r="H10" s="73" t="s">
        <v>17</v>
      </c>
      <c r="I10" s="43"/>
      <c r="J10" s="45">
        <f t="shared" ref="J10:J15" si="0">ROUNDUP(E10*0.75,2)</f>
        <v>30</v>
      </c>
      <c r="K10" s="45" t="s">
        <v>16</v>
      </c>
      <c r="L10" s="45" t="s">
        <v>18</v>
      </c>
      <c r="M10" s="77" t="e">
        <f>#REF!</f>
        <v>#REF!</v>
      </c>
      <c r="N10" s="65" t="s">
        <v>196</v>
      </c>
      <c r="O10" s="46" t="s">
        <v>49</v>
      </c>
      <c r="P10" s="43"/>
      <c r="Q10" s="47">
        <v>50</v>
      </c>
      <c r="R10" s="85">
        <f>ROUNDUP(Q10*0.75,2)</f>
        <v>37.5</v>
      </c>
    </row>
    <row r="11" spans="1:26" ht="21.95" customHeight="1">
      <c r="A11" s="244"/>
      <c r="B11" s="65"/>
      <c r="C11" s="42" t="s">
        <v>19</v>
      </c>
      <c r="D11" s="43"/>
      <c r="E11" s="44">
        <v>30</v>
      </c>
      <c r="F11" s="45" t="s">
        <v>16</v>
      </c>
      <c r="G11" s="69"/>
      <c r="H11" s="73" t="s">
        <v>19</v>
      </c>
      <c r="I11" s="43"/>
      <c r="J11" s="45">
        <f t="shared" si="0"/>
        <v>22.5</v>
      </c>
      <c r="K11" s="45" t="s">
        <v>16</v>
      </c>
      <c r="L11" s="45"/>
      <c r="M11" s="77" t="e">
        <f>ROUND(#REF!+(#REF!*6/100),2)</f>
        <v>#REF!</v>
      </c>
      <c r="N11" s="65" t="s">
        <v>197</v>
      </c>
      <c r="O11" s="46" t="s">
        <v>157</v>
      </c>
      <c r="P11" s="43" t="s">
        <v>158</v>
      </c>
      <c r="Q11" s="47">
        <v>0.5</v>
      </c>
      <c r="R11" s="85">
        <f>ROUNDUP(Q11*0.75,2)</f>
        <v>0.38</v>
      </c>
    </row>
    <row r="12" spans="1:26" ht="21.95" customHeight="1">
      <c r="A12" s="244"/>
      <c r="B12" s="65"/>
      <c r="C12" s="42" t="s">
        <v>143</v>
      </c>
      <c r="D12" s="43"/>
      <c r="E12" s="44">
        <v>20</v>
      </c>
      <c r="F12" s="45" t="s">
        <v>16</v>
      </c>
      <c r="G12" s="69"/>
      <c r="H12" s="73" t="s">
        <v>143</v>
      </c>
      <c r="I12" s="43"/>
      <c r="J12" s="45">
        <f t="shared" si="0"/>
        <v>15</v>
      </c>
      <c r="K12" s="45" t="s">
        <v>16</v>
      </c>
      <c r="L12" s="45"/>
      <c r="M12" s="77" t="e">
        <f>ROUND(#REF!+(#REF!*9/100),2)</f>
        <v>#REF!</v>
      </c>
      <c r="N12" s="65" t="s">
        <v>13</v>
      </c>
      <c r="O12" s="46" t="s">
        <v>26</v>
      </c>
      <c r="P12" s="43"/>
      <c r="Q12" s="47">
        <v>0.2</v>
      </c>
      <c r="R12" s="85">
        <f>ROUNDUP(Q12*0.75,2)</f>
        <v>0.15</v>
      </c>
    </row>
    <row r="13" spans="1:26" ht="21.95" customHeight="1">
      <c r="A13" s="244"/>
      <c r="B13" s="65"/>
      <c r="C13" s="42" t="s">
        <v>198</v>
      </c>
      <c r="D13" s="43"/>
      <c r="E13" s="44">
        <v>10</v>
      </c>
      <c r="F13" s="45" t="s">
        <v>16</v>
      </c>
      <c r="G13" s="69"/>
      <c r="H13" s="73" t="s">
        <v>198</v>
      </c>
      <c r="I13" s="43"/>
      <c r="J13" s="45">
        <f t="shared" si="0"/>
        <v>7.5</v>
      </c>
      <c r="K13" s="45" t="s">
        <v>16</v>
      </c>
      <c r="L13" s="45"/>
      <c r="M13" s="77" t="e">
        <f>ROUND(#REF!+(#REF!*20/100),2)</f>
        <v>#REF!</v>
      </c>
      <c r="N13" s="65"/>
      <c r="O13" s="46" t="s">
        <v>108</v>
      </c>
      <c r="P13" s="43"/>
      <c r="Q13" s="47">
        <v>0.01</v>
      </c>
      <c r="R13" s="85">
        <f>ROUNDUP(Q13*0.75,2)</f>
        <v>0.01</v>
      </c>
    </row>
    <row r="14" spans="1:26" ht="21.95" customHeight="1">
      <c r="A14" s="244"/>
      <c r="B14" s="65"/>
      <c r="C14" s="42" t="s">
        <v>20</v>
      </c>
      <c r="D14" s="43"/>
      <c r="E14" s="44">
        <v>10</v>
      </c>
      <c r="F14" s="45" t="s">
        <v>16</v>
      </c>
      <c r="G14" s="69"/>
      <c r="H14" s="73" t="s">
        <v>20</v>
      </c>
      <c r="I14" s="43"/>
      <c r="J14" s="45">
        <f t="shared" si="0"/>
        <v>7.5</v>
      </c>
      <c r="K14" s="45" t="s">
        <v>16</v>
      </c>
      <c r="L14" s="45"/>
      <c r="M14" s="77" t="e">
        <f>ROUND(#REF!+(#REF!*3/100),2)</f>
        <v>#REF!</v>
      </c>
      <c r="N14" s="65"/>
      <c r="O14" s="46"/>
      <c r="P14" s="43"/>
      <c r="Q14" s="47"/>
      <c r="R14" s="85"/>
    </row>
    <row r="15" spans="1:26" ht="21.95" customHeight="1">
      <c r="A15" s="244"/>
      <c r="B15" s="65"/>
      <c r="C15" s="42" t="s">
        <v>168</v>
      </c>
      <c r="D15" s="43"/>
      <c r="E15" s="44">
        <v>10</v>
      </c>
      <c r="F15" s="45" t="s">
        <v>16</v>
      </c>
      <c r="G15" s="69"/>
      <c r="H15" s="73" t="s">
        <v>168</v>
      </c>
      <c r="I15" s="43"/>
      <c r="J15" s="45">
        <f t="shared" si="0"/>
        <v>7.5</v>
      </c>
      <c r="K15" s="45" t="s">
        <v>16</v>
      </c>
      <c r="L15" s="45"/>
      <c r="M15" s="77" t="e">
        <f>ROUND(#REF!+(#REF!*50/100),2)</f>
        <v>#REF!</v>
      </c>
      <c r="N15" s="65"/>
      <c r="O15" s="46"/>
      <c r="P15" s="43"/>
      <c r="Q15" s="47"/>
      <c r="R15" s="85"/>
    </row>
    <row r="16" spans="1:26" ht="21.95" customHeight="1">
      <c r="A16" s="244"/>
      <c r="B16" s="66"/>
      <c r="C16" s="49"/>
      <c r="D16" s="50"/>
      <c r="E16" s="51"/>
      <c r="F16" s="52"/>
      <c r="G16" s="70"/>
      <c r="H16" s="74"/>
      <c r="I16" s="50"/>
      <c r="J16" s="52"/>
      <c r="K16" s="52"/>
      <c r="L16" s="52"/>
      <c r="M16" s="78"/>
      <c r="N16" s="66"/>
      <c r="O16" s="53"/>
      <c r="P16" s="50"/>
      <c r="Q16" s="54"/>
      <c r="R16" s="86"/>
    </row>
    <row r="17" spans="1:18" ht="21.95" customHeight="1">
      <c r="A17" s="244"/>
      <c r="B17" s="65" t="s">
        <v>199</v>
      </c>
      <c r="C17" s="42" t="s">
        <v>202</v>
      </c>
      <c r="D17" s="43" t="s">
        <v>15</v>
      </c>
      <c r="E17" s="44">
        <v>10</v>
      </c>
      <c r="F17" s="45" t="s">
        <v>16</v>
      </c>
      <c r="G17" s="69"/>
      <c r="H17" s="73" t="s">
        <v>202</v>
      </c>
      <c r="I17" s="43" t="s">
        <v>15</v>
      </c>
      <c r="J17" s="45">
        <f>ROUNDUP(E17*0.75,2)</f>
        <v>7.5</v>
      </c>
      <c r="K17" s="45" t="s">
        <v>16</v>
      </c>
      <c r="L17" s="45"/>
      <c r="M17" s="77" t="e">
        <f>#REF!</f>
        <v>#REF!</v>
      </c>
      <c r="N17" s="65" t="s">
        <v>200</v>
      </c>
      <c r="O17" s="46" t="s">
        <v>33</v>
      </c>
      <c r="P17" s="43"/>
      <c r="Q17" s="47">
        <v>0.3</v>
      </c>
      <c r="R17" s="85">
        <f>ROUNDUP(Q17*0.75,2)</f>
        <v>0.23</v>
      </c>
    </row>
    <row r="18" spans="1:18" ht="21.95" customHeight="1">
      <c r="A18" s="244"/>
      <c r="B18" s="65"/>
      <c r="C18" s="42" t="s">
        <v>46</v>
      </c>
      <c r="D18" s="43"/>
      <c r="E18" s="44">
        <v>10</v>
      </c>
      <c r="F18" s="45" t="s">
        <v>16</v>
      </c>
      <c r="G18" s="69" t="s">
        <v>47</v>
      </c>
      <c r="H18" s="73" t="s">
        <v>46</v>
      </c>
      <c r="I18" s="43"/>
      <c r="J18" s="45">
        <f>ROUNDUP(E18*0.75,2)</f>
        <v>7.5</v>
      </c>
      <c r="K18" s="45" t="s">
        <v>16</v>
      </c>
      <c r="L18" s="45" t="s">
        <v>47</v>
      </c>
      <c r="M18" s="77" t="e">
        <f>#REF!</f>
        <v>#REF!</v>
      </c>
      <c r="N18" s="65" t="s">
        <v>201</v>
      </c>
      <c r="O18" s="46" t="s">
        <v>26</v>
      </c>
      <c r="P18" s="43"/>
      <c r="Q18" s="47">
        <v>0.1</v>
      </c>
      <c r="R18" s="85">
        <f>ROUNDUP(Q18*0.75,2)</f>
        <v>0.08</v>
      </c>
    </row>
    <row r="19" spans="1:18" ht="21.95" customHeight="1">
      <c r="A19" s="244"/>
      <c r="B19" s="65"/>
      <c r="C19" s="42" t="s">
        <v>111</v>
      </c>
      <c r="D19" s="43"/>
      <c r="E19" s="44">
        <v>0.5</v>
      </c>
      <c r="F19" s="45" t="s">
        <v>16</v>
      </c>
      <c r="G19" s="69"/>
      <c r="H19" s="73" t="s">
        <v>111</v>
      </c>
      <c r="I19" s="43"/>
      <c r="J19" s="45">
        <f>ROUNDUP(E19*0.75,2)</f>
        <v>0.38</v>
      </c>
      <c r="K19" s="45" t="s">
        <v>16</v>
      </c>
      <c r="L19" s="45"/>
      <c r="M19" s="77" t="e">
        <f>ROUND(#REF!+(#REF!*10/100),2)</f>
        <v>#REF!</v>
      </c>
      <c r="N19" s="65" t="s">
        <v>13</v>
      </c>
      <c r="O19" s="46" t="s">
        <v>50</v>
      </c>
      <c r="P19" s="43" t="s">
        <v>51</v>
      </c>
      <c r="Q19" s="47">
        <v>4</v>
      </c>
      <c r="R19" s="85">
        <f>ROUNDUP(Q19*0.75,2)</f>
        <v>3</v>
      </c>
    </row>
    <row r="20" spans="1:18" ht="21.95" customHeight="1">
      <c r="A20" s="244"/>
      <c r="B20" s="66"/>
      <c r="C20" s="49"/>
      <c r="D20" s="50"/>
      <c r="E20" s="51"/>
      <c r="F20" s="52"/>
      <c r="G20" s="70"/>
      <c r="H20" s="74"/>
      <c r="I20" s="50"/>
      <c r="J20" s="52"/>
      <c r="K20" s="52"/>
      <c r="L20" s="52"/>
      <c r="M20" s="78"/>
      <c r="N20" s="66"/>
      <c r="O20" s="53"/>
      <c r="P20" s="50"/>
      <c r="Q20" s="54"/>
      <c r="R20" s="86"/>
    </row>
    <row r="21" spans="1:18" ht="21.95" customHeight="1">
      <c r="A21" s="244"/>
      <c r="B21" s="65" t="s">
        <v>137</v>
      </c>
      <c r="C21" s="42" t="s">
        <v>138</v>
      </c>
      <c r="D21" s="43"/>
      <c r="E21" s="81">
        <v>0.25</v>
      </c>
      <c r="F21" s="45" t="s">
        <v>23</v>
      </c>
      <c r="G21" s="69"/>
      <c r="H21" s="73" t="s">
        <v>138</v>
      </c>
      <c r="I21" s="43"/>
      <c r="J21" s="45">
        <f>ROUNDUP(E21*0.75,2)</f>
        <v>0.19</v>
      </c>
      <c r="K21" s="45" t="s">
        <v>23</v>
      </c>
      <c r="L21" s="45"/>
      <c r="M21" s="77" t="e">
        <f>#REF!</f>
        <v>#REF!</v>
      </c>
      <c r="N21" s="65" t="s">
        <v>35</v>
      </c>
      <c r="O21" s="46"/>
      <c r="P21" s="43"/>
      <c r="Q21" s="47"/>
      <c r="R21" s="85"/>
    </row>
    <row r="22" spans="1:18" ht="21.95" customHeight="1" thickBot="1">
      <c r="A22" s="245"/>
      <c r="B22" s="67"/>
      <c r="C22" s="56"/>
      <c r="D22" s="57"/>
      <c r="E22" s="58"/>
      <c r="F22" s="59"/>
      <c r="G22" s="71"/>
      <c r="H22" s="75"/>
      <c r="I22" s="57"/>
      <c r="J22" s="59"/>
      <c r="K22" s="59"/>
      <c r="L22" s="59"/>
      <c r="M22" s="79"/>
      <c r="N22" s="67"/>
      <c r="O22" s="60"/>
      <c r="P22" s="57"/>
      <c r="Q22" s="61"/>
      <c r="R22" s="87"/>
    </row>
    <row r="23" spans="1:18" ht="21.95" customHeight="1"/>
    <row r="24" spans="1:18" ht="21.95" customHeight="1"/>
    <row r="25" spans="1:18" ht="21.95" customHeight="1"/>
    <row r="26" spans="1:18" ht="18.75" customHeight="1">
      <c r="P26" s="246" t="s">
        <v>276</v>
      </c>
      <c r="Q26" s="246"/>
      <c r="R26" s="246"/>
    </row>
  </sheetData>
  <mergeCells count="6">
    <mergeCell ref="P26:R26"/>
    <mergeCell ref="H1:N1"/>
    <mergeCell ref="A2:R2"/>
    <mergeCell ref="A5:F5"/>
    <mergeCell ref="A7:A22"/>
    <mergeCell ref="B3:C4"/>
  </mergeCells>
  <phoneticPr fontId="17"/>
  <printOptions horizontalCentered="1" verticalCentered="1"/>
  <pageMargins left="0.39370078740157483" right="0.39370078740157483" top="0.39370078740157483" bottom="0.39370078740157483" header="0.39370078740157483" footer="0.39370078740157483"/>
  <pageSetup paperSize="12" scale="5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21</vt:i4>
      </vt:variant>
    </vt:vector>
  </HeadingPairs>
  <TitlesOfParts>
    <vt:vector size="21" baseType="lpstr">
      <vt:lpstr>キッズ月間(昼)</vt:lpstr>
      <vt:lpstr>12月2日（月）</vt:lpstr>
      <vt:lpstr>12月3日（火）</vt:lpstr>
      <vt:lpstr>12月4日（水）</vt:lpstr>
      <vt:lpstr>12月5日（木）</vt:lpstr>
      <vt:lpstr>12月6日（金）</vt:lpstr>
      <vt:lpstr>12月9日（月）</vt:lpstr>
      <vt:lpstr>12月10日（火）</vt:lpstr>
      <vt:lpstr>12月11日（水）</vt:lpstr>
      <vt:lpstr>12月12日（木）</vt:lpstr>
      <vt:lpstr>12月13日（金）</vt:lpstr>
      <vt:lpstr>12月16日（月）</vt:lpstr>
      <vt:lpstr>12月17日（火）</vt:lpstr>
      <vt:lpstr>12月18日（水）</vt:lpstr>
      <vt:lpstr>12月19日（木）</vt:lpstr>
      <vt:lpstr>12月20日（金）</vt:lpstr>
      <vt:lpstr>12月23日（月）</vt:lpstr>
      <vt:lpstr>12月24日（火）</vt:lpstr>
      <vt:lpstr>12月25日（水）</vt:lpstr>
      <vt:lpstr>12月26日（木）</vt:lpstr>
      <vt:lpstr>12月27日（金）</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shokuzai</dc:creator>
  <cp:lastModifiedBy>skuld</cp:lastModifiedBy>
  <cp:lastPrinted>2019-11-01T00:23:33Z</cp:lastPrinted>
  <dcterms:created xsi:type="dcterms:W3CDTF">2019-03-20T06:11:51Z</dcterms:created>
  <dcterms:modified xsi:type="dcterms:W3CDTF">2019-11-12T06:28:01Z</dcterms:modified>
</cp:coreProperties>
</file>