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5360" windowHeight="7380"/>
  </bookViews>
  <sheets>
    <sheet name="キッズ月間(昼・おやつ) " sheetId="31" r:id="rId1"/>
    <sheet name="11月1日（金）" sheetId="2" r:id="rId2"/>
    <sheet name="11月5日（火）" sheetId="6" r:id="rId3"/>
    <sheet name="11月6日（水）" sheetId="7" r:id="rId4"/>
    <sheet name="11月7日（木）" sheetId="8" r:id="rId5"/>
    <sheet name="11月8日（金）" sheetId="9" r:id="rId6"/>
    <sheet name="11月11日（月）" sheetId="12" r:id="rId7"/>
    <sheet name="11月12日（火）" sheetId="13" r:id="rId8"/>
    <sheet name="11月13日（水）" sheetId="14" r:id="rId9"/>
    <sheet name="11月14日（木）" sheetId="15" r:id="rId10"/>
    <sheet name="11月15日（金）" sheetId="16" r:id="rId11"/>
    <sheet name="11月18日（月）" sheetId="19" r:id="rId12"/>
    <sheet name="11月19日（火）" sheetId="20" r:id="rId13"/>
    <sheet name="11月20日（水）" sheetId="21" r:id="rId14"/>
    <sheet name="11月21日（木）" sheetId="22" r:id="rId15"/>
    <sheet name="11月22日（金）" sheetId="23" r:id="rId16"/>
    <sheet name="11月25日（月）" sheetId="26" r:id="rId17"/>
    <sheet name="11月26日（火）" sheetId="27" r:id="rId18"/>
    <sheet name="11月27日（水）" sheetId="28" r:id="rId19"/>
    <sheet name="11月28日（木）" sheetId="29" r:id="rId20"/>
    <sheet name="11月29日（金）" sheetId="30" r:id="rId21"/>
  </sheets>
  <definedNames>
    <definedName name="_xlnm.Print_Area" localSheetId="0">'キッズ月間(昼・おやつ) '!$A$1:$U$90</definedName>
    <definedName name="_xlnm.Print_Area">#REF!</definedName>
  </definedNames>
  <calcPr calcId="152511"/>
</workbook>
</file>

<file path=xl/calcChain.xml><?xml version="1.0" encoding="utf-8"?>
<calcChain xmlns="http://schemas.openxmlformats.org/spreadsheetml/2006/main">
  <c r="I64" i="31" l="1"/>
  <c r="G64" i="31"/>
  <c r="F64" i="31"/>
  <c r="E64" i="31"/>
  <c r="D64" i="31"/>
  <c r="I63" i="31"/>
  <c r="G63" i="31"/>
  <c r="F63" i="31"/>
  <c r="E63" i="31"/>
  <c r="D63" i="31"/>
  <c r="G60" i="31"/>
  <c r="G59" i="31"/>
  <c r="R58" i="31"/>
  <c r="G58" i="31"/>
  <c r="R57" i="31"/>
  <c r="G57" i="31"/>
  <c r="R56" i="31"/>
  <c r="G56" i="31"/>
  <c r="R55" i="31"/>
  <c r="G55" i="31"/>
  <c r="R54" i="31"/>
  <c r="G54" i="31"/>
  <c r="R53" i="31"/>
  <c r="G53" i="31"/>
  <c r="R52" i="31"/>
  <c r="G52" i="31"/>
  <c r="R51" i="31"/>
  <c r="G51" i="31"/>
  <c r="R50" i="31"/>
  <c r="G50" i="31"/>
  <c r="R49" i="31"/>
  <c r="G49" i="31"/>
  <c r="R48" i="31"/>
  <c r="G48" i="31"/>
  <c r="R47" i="31"/>
  <c r="G47" i="31"/>
  <c r="R46" i="31"/>
  <c r="G46" i="31"/>
  <c r="R45" i="31"/>
  <c r="G45" i="31"/>
  <c r="R44" i="31"/>
  <c r="G44" i="31"/>
  <c r="R43" i="31"/>
  <c r="G43" i="31"/>
  <c r="R42" i="31"/>
  <c r="G42" i="31"/>
  <c r="R41" i="31"/>
  <c r="G41" i="31"/>
  <c r="R40" i="31"/>
  <c r="G40" i="31"/>
  <c r="R39" i="31"/>
  <c r="G39" i="31"/>
  <c r="R38" i="31"/>
  <c r="G38" i="31"/>
  <c r="R37" i="31"/>
  <c r="G37" i="31"/>
  <c r="R36" i="31"/>
  <c r="G36" i="31"/>
  <c r="R35" i="31"/>
  <c r="R34" i="31"/>
  <c r="G33" i="31"/>
  <c r="G32" i="31"/>
  <c r="R31" i="31"/>
  <c r="G31" i="31"/>
  <c r="R30" i="31"/>
  <c r="G30" i="31"/>
  <c r="R29" i="31"/>
  <c r="G29" i="31"/>
  <c r="R28" i="31"/>
  <c r="G28" i="31"/>
  <c r="R27" i="31"/>
  <c r="G27" i="31"/>
  <c r="R26" i="31"/>
  <c r="G26" i="31"/>
  <c r="R25" i="31"/>
  <c r="G25" i="31"/>
  <c r="R24" i="31"/>
  <c r="G24" i="31"/>
  <c r="R23" i="31"/>
  <c r="G23" i="31"/>
  <c r="R22" i="31"/>
  <c r="G22" i="31"/>
  <c r="R21" i="31"/>
  <c r="G21" i="31"/>
  <c r="R20" i="31"/>
  <c r="G20" i="31"/>
  <c r="R19" i="31"/>
  <c r="G19" i="31"/>
  <c r="R18" i="31"/>
  <c r="G18" i="31"/>
  <c r="R17" i="31"/>
  <c r="G17" i="31"/>
  <c r="R16" i="31"/>
  <c r="G16" i="31"/>
  <c r="R15" i="31"/>
  <c r="G15" i="31"/>
  <c r="R14" i="31"/>
  <c r="G14" i="31"/>
  <c r="R13" i="31"/>
  <c r="R12" i="31"/>
  <c r="R11" i="31"/>
  <c r="G11" i="31"/>
  <c r="R10" i="31"/>
  <c r="G10" i="31"/>
  <c r="R9" i="31"/>
  <c r="G9" i="31"/>
  <c r="R8" i="31"/>
  <c r="G8" i="31"/>
  <c r="R7" i="31"/>
  <c r="G7" i="31"/>
  <c r="J23" i="30" l="1"/>
  <c r="M23" i="30" s="1"/>
  <c r="R21" i="30"/>
  <c r="R20" i="30"/>
  <c r="R19" i="30"/>
  <c r="J20" i="30"/>
  <c r="M20" i="30" s="1"/>
  <c r="J19" i="30"/>
  <c r="M19" i="30" s="1"/>
  <c r="R17" i="30"/>
  <c r="R16" i="30"/>
  <c r="R15" i="30"/>
  <c r="R14" i="30"/>
  <c r="M15" i="30"/>
  <c r="J15" i="30"/>
  <c r="J14" i="30"/>
  <c r="M14" i="30" s="1"/>
  <c r="R12" i="30"/>
  <c r="R11" i="30"/>
  <c r="J12" i="30"/>
  <c r="M12" i="30" s="1"/>
  <c r="M11" i="30"/>
  <c r="J11" i="30"/>
  <c r="R10" i="30"/>
  <c r="R9" i="30"/>
  <c r="R8" i="30"/>
  <c r="R7" i="30"/>
  <c r="J10" i="30"/>
  <c r="M10" i="30" s="1"/>
  <c r="J9" i="30"/>
  <c r="M9" i="30" s="1"/>
  <c r="M8" i="30"/>
  <c r="J8" i="30"/>
  <c r="M7" i="30"/>
  <c r="J7" i="30"/>
  <c r="R5" i="30"/>
  <c r="M23" i="29"/>
  <c r="J23" i="29"/>
  <c r="R21" i="29"/>
  <c r="R20" i="29"/>
  <c r="R19" i="29"/>
  <c r="J20" i="29"/>
  <c r="M20" i="29" s="1"/>
  <c r="M19" i="29"/>
  <c r="J19" i="29"/>
  <c r="R16" i="29"/>
  <c r="R15" i="29"/>
  <c r="R14" i="29"/>
  <c r="J16" i="29"/>
  <c r="M16" i="29" s="1"/>
  <c r="M15" i="29"/>
  <c r="J15" i="29"/>
  <c r="M14" i="29"/>
  <c r="J14" i="29"/>
  <c r="J8" i="29"/>
  <c r="M8" i="29" s="1"/>
  <c r="R12" i="29"/>
  <c r="R11" i="29"/>
  <c r="R10" i="29"/>
  <c r="R9" i="29"/>
  <c r="J7" i="29"/>
  <c r="M7" i="29" s="1"/>
  <c r="R8" i="29"/>
  <c r="R7" i="29"/>
  <c r="R6" i="29"/>
  <c r="J6" i="29"/>
  <c r="M6" i="29" s="1"/>
  <c r="J5" i="29"/>
  <c r="M5" i="29" s="1"/>
  <c r="R5" i="29"/>
  <c r="R22" i="28"/>
  <c r="R21" i="28"/>
  <c r="J21" i="28"/>
  <c r="M21" i="28" s="1"/>
  <c r="R19" i="28"/>
  <c r="R18" i="28"/>
  <c r="R17" i="28"/>
  <c r="R16" i="28"/>
  <c r="J14" i="28"/>
  <c r="M14" i="28" s="1"/>
  <c r="J13" i="28"/>
  <c r="M13" i="28" s="1"/>
  <c r="R15" i="28"/>
  <c r="R14" i="28"/>
  <c r="R13" i="28"/>
  <c r="R12" i="28"/>
  <c r="J12" i="28"/>
  <c r="M12" i="28" s="1"/>
  <c r="R10" i="28"/>
  <c r="R9" i="28"/>
  <c r="R8" i="28"/>
  <c r="R7" i="28"/>
  <c r="J9" i="28"/>
  <c r="M9" i="28" s="1"/>
  <c r="J8" i="28"/>
  <c r="M8" i="28" s="1"/>
  <c r="J7" i="28"/>
  <c r="M7" i="28" s="1"/>
  <c r="R6" i="28"/>
  <c r="R5" i="28"/>
  <c r="J6" i="28"/>
  <c r="M6" i="28" s="1"/>
  <c r="J5" i="28"/>
  <c r="M5" i="28" s="1"/>
  <c r="J22" i="27"/>
  <c r="M22" i="27" s="1"/>
  <c r="R20" i="27"/>
  <c r="R19" i="27"/>
  <c r="J20" i="27"/>
  <c r="M20" i="27" s="1"/>
  <c r="M19" i="27"/>
  <c r="J19" i="27"/>
  <c r="R17" i="27"/>
  <c r="R16" i="27"/>
  <c r="R15" i="27"/>
  <c r="R14" i="27"/>
  <c r="M16" i="27"/>
  <c r="J16" i="27"/>
  <c r="J15" i="27"/>
  <c r="M15" i="27" s="1"/>
  <c r="J14" i="27"/>
  <c r="M14" i="27" s="1"/>
  <c r="J11" i="27"/>
  <c r="M11" i="27" s="1"/>
  <c r="M10" i="27"/>
  <c r="J10" i="27"/>
  <c r="J9" i="27"/>
  <c r="M9" i="27" s="1"/>
  <c r="J8" i="27"/>
  <c r="M8" i="27" s="1"/>
  <c r="R12" i="27"/>
  <c r="R11" i="27"/>
  <c r="R10" i="27"/>
  <c r="R9" i="27"/>
  <c r="R8" i="27"/>
  <c r="R7" i="27"/>
  <c r="J7" i="27"/>
  <c r="M7" i="27" s="1"/>
  <c r="R5" i="27"/>
  <c r="J22" i="26"/>
  <c r="M22" i="26" s="1"/>
  <c r="R19" i="26"/>
  <c r="R18" i="26"/>
  <c r="R17" i="26"/>
  <c r="J19" i="26"/>
  <c r="M19" i="26" s="1"/>
  <c r="J18" i="26"/>
  <c r="M18" i="26" s="1"/>
  <c r="M17" i="26"/>
  <c r="J17" i="26"/>
  <c r="J15" i="26"/>
  <c r="M15" i="26" s="1"/>
  <c r="R10" i="26"/>
  <c r="R9" i="26"/>
  <c r="J14" i="26"/>
  <c r="M14" i="26" s="1"/>
  <c r="J13" i="26"/>
  <c r="J12" i="26"/>
  <c r="M12" i="26" s="1"/>
  <c r="J11" i="26"/>
  <c r="M11" i="26" s="1"/>
  <c r="J10" i="26"/>
  <c r="M10" i="26" s="1"/>
  <c r="J9" i="26"/>
  <c r="M9" i="26" s="1"/>
  <c r="R7" i="26"/>
  <c r="R6" i="26"/>
  <c r="J5" i="26"/>
  <c r="M5" i="26" s="1"/>
  <c r="R5" i="26"/>
  <c r="J21" i="23"/>
  <c r="M21" i="23" s="1"/>
  <c r="R19" i="23"/>
  <c r="R18" i="23"/>
  <c r="J19" i="23"/>
  <c r="M19" i="23" s="1"/>
  <c r="J18" i="23"/>
  <c r="M18" i="23" s="1"/>
  <c r="R16" i="23"/>
  <c r="R15" i="23"/>
  <c r="R14" i="23"/>
  <c r="R13" i="23"/>
  <c r="M14" i="23"/>
  <c r="J14" i="23"/>
  <c r="J13" i="23"/>
  <c r="M13" i="23" s="1"/>
  <c r="R11" i="23"/>
  <c r="J10" i="23"/>
  <c r="M10" i="23" s="1"/>
  <c r="J9" i="23"/>
  <c r="M9" i="23" s="1"/>
  <c r="R10" i="23"/>
  <c r="R9" i="23"/>
  <c r="R8" i="23"/>
  <c r="R7" i="23"/>
  <c r="J8" i="23"/>
  <c r="M8" i="23" s="1"/>
  <c r="J7" i="23"/>
  <c r="M7" i="23" s="1"/>
  <c r="M5" i="23"/>
  <c r="J5" i="23"/>
  <c r="R5" i="23"/>
  <c r="R21" i="22"/>
  <c r="R20" i="22"/>
  <c r="R19" i="22"/>
  <c r="J20" i="22"/>
  <c r="M20" i="22" s="1"/>
  <c r="J19" i="22"/>
  <c r="M19" i="22" s="1"/>
  <c r="R16" i="22"/>
  <c r="R15" i="22"/>
  <c r="R14" i="22"/>
  <c r="M17" i="22"/>
  <c r="J17" i="22"/>
  <c r="J16" i="22"/>
  <c r="M16" i="22" s="1"/>
  <c r="J15" i="22"/>
  <c r="M15" i="22" s="1"/>
  <c r="J14" i="22"/>
  <c r="M14" i="22" s="1"/>
  <c r="J9" i="22"/>
  <c r="M9" i="22" s="1"/>
  <c r="R12" i="22"/>
  <c r="R11" i="22"/>
  <c r="R10" i="22"/>
  <c r="R9" i="22"/>
  <c r="R8" i="22"/>
  <c r="R7" i="22"/>
  <c r="R6" i="22"/>
  <c r="J8" i="22"/>
  <c r="M8" i="22" s="1"/>
  <c r="M7" i="22"/>
  <c r="J7" i="22"/>
  <c r="J6" i="22"/>
  <c r="M6" i="22" s="1"/>
  <c r="R5" i="22"/>
  <c r="J5" i="22"/>
  <c r="M5" i="22" s="1"/>
  <c r="J25" i="21"/>
  <c r="M25" i="21" s="1"/>
  <c r="R23" i="21"/>
  <c r="R22" i="21"/>
  <c r="R21" i="21"/>
  <c r="J22" i="21"/>
  <c r="M22" i="21" s="1"/>
  <c r="J21" i="21"/>
  <c r="M21" i="21" s="1"/>
  <c r="R19" i="21"/>
  <c r="R18" i="21"/>
  <c r="R17" i="21"/>
  <c r="R16" i="21"/>
  <c r="J16" i="21"/>
  <c r="M16" i="21" s="1"/>
  <c r="R14" i="21"/>
  <c r="R13" i="21"/>
  <c r="R12" i="21"/>
  <c r="R11" i="21"/>
  <c r="R10" i="21"/>
  <c r="R9" i="21"/>
  <c r="M11" i="21"/>
  <c r="J11" i="21"/>
  <c r="R8" i="21"/>
  <c r="R7" i="21"/>
  <c r="M10" i="21"/>
  <c r="J10" i="21"/>
  <c r="J9" i="21"/>
  <c r="M9" i="21" s="1"/>
  <c r="J8" i="21"/>
  <c r="M8" i="21" s="1"/>
  <c r="J7" i="21"/>
  <c r="M7" i="21" s="1"/>
  <c r="R5" i="21"/>
  <c r="J17" i="20"/>
  <c r="M17" i="20" s="1"/>
  <c r="R15" i="20"/>
  <c r="R14" i="20"/>
  <c r="R13" i="20"/>
  <c r="R12" i="20"/>
  <c r="J13" i="20"/>
  <c r="M13" i="20" s="1"/>
  <c r="J12" i="20"/>
  <c r="M12" i="20" s="1"/>
  <c r="R10" i="20"/>
  <c r="R9" i="20"/>
  <c r="R8" i="20"/>
  <c r="R7" i="20"/>
  <c r="J10" i="20"/>
  <c r="M10" i="20" s="1"/>
  <c r="M9" i="20"/>
  <c r="J9" i="20"/>
  <c r="J8" i="20"/>
  <c r="M8" i="20" s="1"/>
  <c r="J7" i="20"/>
  <c r="M7" i="20" s="1"/>
  <c r="J6" i="20"/>
  <c r="M6" i="20" s="1"/>
  <c r="R6" i="20"/>
  <c r="J5" i="20"/>
  <c r="M5" i="20" s="1"/>
  <c r="R5" i="20"/>
  <c r="J23" i="19"/>
  <c r="M23" i="19" s="1"/>
  <c r="R21" i="19"/>
  <c r="R20" i="19"/>
  <c r="J21" i="19"/>
  <c r="M21" i="19" s="1"/>
  <c r="M20" i="19"/>
  <c r="J20" i="19"/>
  <c r="R18" i="19"/>
  <c r="R17" i="19"/>
  <c r="R16" i="19"/>
  <c r="R15" i="19"/>
  <c r="J16" i="19"/>
  <c r="M16" i="19" s="1"/>
  <c r="M15" i="19"/>
  <c r="J15" i="19"/>
  <c r="R13" i="19"/>
  <c r="R12" i="19"/>
  <c r="R11" i="19"/>
  <c r="R10" i="19"/>
  <c r="R9" i="19"/>
  <c r="J11" i="19"/>
  <c r="M11" i="19" s="1"/>
  <c r="M10" i="19"/>
  <c r="J10" i="19"/>
  <c r="J9" i="19"/>
  <c r="M9" i="19" s="1"/>
  <c r="R8" i="19"/>
  <c r="R7" i="19"/>
  <c r="J8" i="19"/>
  <c r="M8" i="19" s="1"/>
  <c r="J7" i="19"/>
  <c r="M7" i="19" s="1"/>
  <c r="R5" i="19"/>
  <c r="J28" i="16"/>
  <c r="M28" i="16" s="1"/>
  <c r="R26" i="16"/>
  <c r="R25" i="16"/>
  <c r="R24" i="16"/>
  <c r="J25" i="16"/>
  <c r="M25" i="16" s="1"/>
  <c r="J24" i="16"/>
  <c r="M24" i="16" s="1"/>
  <c r="J21" i="16"/>
  <c r="M21" i="16" s="1"/>
  <c r="M20" i="16"/>
  <c r="J20" i="16"/>
  <c r="R22" i="16"/>
  <c r="J19" i="16"/>
  <c r="M19" i="16" s="1"/>
  <c r="R21" i="16"/>
  <c r="R20" i="16"/>
  <c r="R19" i="16"/>
  <c r="R18" i="16"/>
  <c r="J18" i="16"/>
  <c r="M18" i="16" s="1"/>
  <c r="R17" i="16"/>
  <c r="R16" i="16"/>
  <c r="R15" i="16"/>
  <c r="R14" i="16"/>
  <c r="J17" i="16"/>
  <c r="M17" i="16" s="1"/>
  <c r="J16" i="16"/>
  <c r="M16" i="16" s="1"/>
  <c r="J15" i="16"/>
  <c r="M15" i="16" s="1"/>
  <c r="M14" i="16"/>
  <c r="J14" i="16"/>
  <c r="R10" i="16"/>
  <c r="R9" i="16"/>
  <c r="R8" i="16"/>
  <c r="J9" i="16"/>
  <c r="M9" i="16" s="1"/>
  <c r="M8" i="16"/>
  <c r="J8" i="16"/>
  <c r="J7" i="16"/>
  <c r="M7" i="16" s="1"/>
  <c r="R7" i="16"/>
  <c r="J23" i="15"/>
  <c r="M23" i="15" s="1"/>
  <c r="R21" i="15"/>
  <c r="R20" i="15"/>
  <c r="R19" i="15"/>
  <c r="M20" i="15"/>
  <c r="J20" i="15"/>
  <c r="J19" i="15"/>
  <c r="M19" i="15" s="1"/>
  <c r="R16" i="15"/>
  <c r="R15" i="15"/>
  <c r="R14" i="15"/>
  <c r="J16" i="15"/>
  <c r="M16" i="15" s="1"/>
  <c r="J15" i="15"/>
  <c r="M15" i="15" s="1"/>
  <c r="J14" i="15"/>
  <c r="M14" i="15" s="1"/>
  <c r="J8" i="15"/>
  <c r="M8" i="15" s="1"/>
  <c r="R12" i="15"/>
  <c r="R11" i="15"/>
  <c r="R10" i="15"/>
  <c r="R9" i="15"/>
  <c r="M7" i="15"/>
  <c r="J7" i="15"/>
  <c r="R8" i="15"/>
  <c r="R7" i="15"/>
  <c r="R6" i="15"/>
  <c r="J6" i="15"/>
  <c r="M6" i="15" s="1"/>
  <c r="M5" i="15"/>
  <c r="J5" i="15"/>
  <c r="R5" i="15"/>
  <c r="R22" i="14"/>
  <c r="R21" i="14"/>
  <c r="J21" i="14"/>
  <c r="M21" i="14" s="1"/>
  <c r="R19" i="14"/>
  <c r="R18" i="14"/>
  <c r="R17" i="14"/>
  <c r="R16" i="14"/>
  <c r="J14" i="14"/>
  <c r="M14" i="14" s="1"/>
  <c r="J13" i="14"/>
  <c r="M13" i="14" s="1"/>
  <c r="R15" i="14"/>
  <c r="R14" i="14"/>
  <c r="R13" i="14"/>
  <c r="R12" i="14"/>
  <c r="J12" i="14"/>
  <c r="M12" i="14" s="1"/>
  <c r="R10" i="14"/>
  <c r="R9" i="14"/>
  <c r="R8" i="14"/>
  <c r="R7" i="14"/>
  <c r="J9" i="14"/>
  <c r="M9" i="14" s="1"/>
  <c r="M8" i="14"/>
  <c r="J8" i="14"/>
  <c r="J7" i="14"/>
  <c r="M7" i="14" s="1"/>
  <c r="R6" i="14"/>
  <c r="R5" i="14"/>
  <c r="J6" i="14"/>
  <c r="M6" i="14" s="1"/>
  <c r="J5" i="14"/>
  <c r="M5" i="14" s="1"/>
  <c r="M22" i="13"/>
  <c r="J22" i="13"/>
  <c r="R20" i="13"/>
  <c r="R19" i="13"/>
  <c r="M20" i="13"/>
  <c r="J20" i="13"/>
  <c r="J19" i="13"/>
  <c r="M19" i="13" s="1"/>
  <c r="R17" i="13"/>
  <c r="R16" i="13"/>
  <c r="R15" i="13"/>
  <c r="R14" i="13"/>
  <c r="J16" i="13"/>
  <c r="M16" i="13" s="1"/>
  <c r="M15" i="13"/>
  <c r="J15" i="13"/>
  <c r="M14" i="13"/>
  <c r="J14" i="13"/>
  <c r="J11" i="13"/>
  <c r="M11" i="13" s="1"/>
  <c r="J10" i="13"/>
  <c r="M10" i="13" s="1"/>
  <c r="M9" i="13"/>
  <c r="J9" i="13"/>
  <c r="M8" i="13"/>
  <c r="J8" i="13"/>
  <c r="R12" i="13"/>
  <c r="R11" i="13"/>
  <c r="R10" i="13"/>
  <c r="R9" i="13"/>
  <c r="R8" i="13"/>
  <c r="R7" i="13"/>
  <c r="J7" i="13"/>
  <c r="M7" i="13" s="1"/>
  <c r="R5" i="13"/>
  <c r="J22" i="12"/>
  <c r="M22" i="12" s="1"/>
  <c r="R19" i="12"/>
  <c r="R18" i="12"/>
  <c r="R17" i="12"/>
  <c r="M19" i="12"/>
  <c r="J19" i="12"/>
  <c r="J18" i="12"/>
  <c r="M18" i="12" s="1"/>
  <c r="J17" i="12"/>
  <c r="M17" i="12"/>
  <c r="M15" i="12"/>
  <c r="J15" i="12"/>
  <c r="R10" i="12"/>
  <c r="R9" i="12"/>
  <c r="M14" i="12"/>
  <c r="J14" i="12"/>
  <c r="J13" i="12"/>
  <c r="M12" i="12"/>
  <c r="J12" i="12"/>
  <c r="M11" i="12"/>
  <c r="J11" i="12"/>
  <c r="J10" i="12"/>
  <c r="M10" i="12" s="1"/>
  <c r="J9" i="12"/>
  <c r="M9" i="12" s="1"/>
  <c r="R7" i="12"/>
  <c r="R6" i="12"/>
  <c r="M5" i="12"/>
  <c r="J5" i="12"/>
  <c r="R5" i="12"/>
  <c r="J21" i="9"/>
  <c r="M21" i="9" s="1"/>
  <c r="R19" i="9"/>
  <c r="R18" i="9"/>
  <c r="J19" i="9"/>
  <c r="M19" i="9" s="1"/>
  <c r="J18" i="9"/>
  <c r="M18" i="9" s="1"/>
  <c r="R16" i="9"/>
  <c r="R15" i="9"/>
  <c r="R14" i="9"/>
  <c r="R13" i="9"/>
  <c r="J14" i="9"/>
  <c r="M14" i="9" s="1"/>
  <c r="J13" i="9"/>
  <c r="M13" i="9" s="1"/>
  <c r="R11" i="9"/>
  <c r="J10" i="9"/>
  <c r="M10" i="9" s="1"/>
  <c r="J9" i="9"/>
  <c r="M9" i="9" s="1"/>
  <c r="R10" i="9"/>
  <c r="R9" i="9"/>
  <c r="R8" i="9"/>
  <c r="R7" i="9"/>
  <c r="J8" i="9"/>
  <c r="M8" i="9" s="1"/>
  <c r="J7" i="9"/>
  <c r="M7" i="9" s="1"/>
  <c r="M5" i="9"/>
  <c r="J5" i="9"/>
  <c r="R5" i="9"/>
  <c r="R21" i="8"/>
  <c r="R20" i="8"/>
  <c r="R19" i="8"/>
  <c r="J20" i="8"/>
  <c r="M20" i="8" s="1"/>
  <c r="J19" i="8"/>
  <c r="M19" i="8" s="1"/>
  <c r="R16" i="8"/>
  <c r="R15" i="8"/>
  <c r="R14" i="8"/>
  <c r="J17" i="8"/>
  <c r="M17" i="8" s="1"/>
  <c r="J16" i="8"/>
  <c r="M16" i="8" s="1"/>
  <c r="M15" i="8"/>
  <c r="J15" i="8"/>
  <c r="M14" i="8"/>
  <c r="J14" i="8"/>
  <c r="J9" i="8"/>
  <c r="M9" i="8" s="1"/>
  <c r="R12" i="8"/>
  <c r="R11" i="8"/>
  <c r="R10" i="8"/>
  <c r="R9" i="8"/>
  <c r="R8" i="8"/>
  <c r="R7" i="8"/>
  <c r="R6" i="8"/>
  <c r="M8" i="8"/>
  <c r="J8" i="8"/>
  <c r="J7" i="8"/>
  <c r="M7" i="8" s="1"/>
  <c r="J6" i="8"/>
  <c r="M6" i="8" s="1"/>
  <c r="R5" i="8"/>
  <c r="J5" i="8"/>
  <c r="M5" i="8" s="1"/>
  <c r="J25" i="7"/>
  <c r="M25" i="7" s="1"/>
  <c r="R23" i="7"/>
  <c r="R22" i="7"/>
  <c r="R21" i="7"/>
  <c r="J22" i="7"/>
  <c r="M22" i="7" s="1"/>
  <c r="J21" i="7"/>
  <c r="M21" i="7" s="1"/>
  <c r="R19" i="7"/>
  <c r="R18" i="7"/>
  <c r="R17" i="7"/>
  <c r="R16" i="7"/>
  <c r="J16" i="7"/>
  <c r="M16" i="7" s="1"/>
  <c r="R14" i="7"/>
  <c r="R13" i="7"/>
  <c r="R12" i="7"/>
  <c r="R11" i="7"/>
  <c r="R10" i="7"/>
  <c r="R9" i="7"/>
  <c r="M11" i="7"/>
  <c r="J11" i="7"/>
  <c r="R8" i="7"/>
  <c r="R7" i="7"/>
  <c r="J10" i="7"/>
  <c r="M10" i="7" s="1"/>
  <c r="J9" i="7"/>
  <c r="M9" i="7" s="1"/>
  <c r="J8" i="7"/>
  <c r="M8" i="7" s="1"/>
  <c r="J7" i="7"/>
  <c r="M7" i="7" s="1"/>
  <c r="R5" i="7"/>
  <c r="M17" i="6"/>
  <c r="J17" i="6"/>
  <c r="R15" i="6"/>
  <c r="R14" i="6"/>
  <c r="R13" i="6"/>
  <c r="R12" i="6"/>
  <c r="J13" i="6"/>
  <c r="M13" i="6" s="1"/>
  <c r="J12" i="6"/>
  <c r="M12" i="6" s="1"/>
  <c r="R10" i="6"/>
  <c r="R9" i="6"/>
  <c r="R8" i="6"/>
  <c r="R7" i="6"/>
  <c r="J10" i="6"/>
  <c r="M10" i="6" s="1"/>
  <c r="J9" i="6"/>
  <c r="M9" i="6" s="1"/>
  <c r="J8" i="6"/>
  <c r="M8" i="6" s="1"/>
  <c r="J7" i="6"/>
  <c r="M7" i="6" s="1"/>
  <c r="M6" i="6"/>
  <c r="J6" i="6"/>
  <c r="R6" i="6"/>
  <c r="J5" i="6"/>
  <c r="M5" i="6" s="1"/>
  <c r="R5" i="6"/>
  <c r="M27" i="2"/>
  <c r="J27" i="2"/>
  <c r="R25" i="2"/>
  <c r="R24" i="2"/>
  <c r="R23" i="2"/>
  <c r="J24" i="2"/>
  <c r="M24" i="2" s="1"/>
  <c r="M23" i="2"/>
  <c r="J23" i="2"/>
  <c r="M21" i="2"/>
  <c r="J21" i="2"/>
  <c r="J20" i="2"/>
  <c r="M20" i="2" s="1"/>
  <c r="R19" i="2"/>
  <c r="R18" i="2"/>
  <c r="R17" i="2"/>
  <c r="R16" i="2"/>
  <c r="J19" i="2"/>
  <c r="M19" i="2" s="1"/>
  <c r="M18" i="2"/>
  <c r="J18" i="2"/>
  <c r="M17" i="2"/>
  <c r="J17" i="2"/>
  <c r="J16" i="2"/>
  <c r="M16" i="2" s="1"/>
  <c r="J11" i="2"/>
  <c r="M11" i="2" s="1"/>
  <c r="M10" i="2"/>
  <c r="J10" i="2"/>
  <c r="R12" i="2"/>
  <c r="J9" i="2"/>
  <c r="M9" i="2" s="1"/>
  <c r="R11" i="2"/>
  <c r="R10" i="2"/>
  <c r="R9" i="2"/>
  <c r="R8" i="2"/>
  <c r="M8" i="2"/>
  <c r="J8" i="2"/>
  <c r="M7" i="2"/>
  <c r="J7" i="2"/>
  <c r="R7" i="2"/>
</calcChain>
</file>

<file path=xl/sharedStrings.xml><?xml version="1.0" encoding="utf-8"?>
<sst xmlns="http://schemas.openxmlformats.org/spreadsheetml/2006/main" count="2542" uniqueCount="433">
  <si>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</si>
  <si>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</si>
  <si>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</si>
  <si>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</si>
  <si>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</si>
  <si>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</si>
  <si>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</si>
  <si>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</si>
  <si>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</si>
  <si>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</si>
  <si>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</si>
  <si>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</si>
  <si>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</si>
  <si>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10月30日(水)配達/11月1日(金)食</t>
    <phoneticPr fontId="3"/>
  </si>
  <si>
    <t>●こぎつねご飯</t>
  </si>
  <si>
    <t>①石突を取って粗くみじん切りしたきのこ・油揚げは、出し汁・砂糖・酒・正油で煮ます。_x000D_</t>
  </si>
  <si>
    <t>※写真を参考に盛り付けて下さい。_x000D_</t>
  </si>
  <si>
    <t>※ミートボールはお好みで加熱して下さい。_x000D_</t>
  </si>
  <si>
    <t>※誤嚥防止のために豆は軽く潰してもよいでしょう。_x000D_</t>
  </si>
  <si>
    <t>※加熱調理する際は中心部75℃で1分以上加熱したことを確認して下さい。_x000D_</t>
  </si>
  <si>
    <t>ご飯</t>
  </si>
  <si>
    <t>冷凍カット油揚げ</t>
  </si>
  <si>
    <t>国内加工</t>
  </si>
  <si>
    <t>g</t>
  </si>
  <si>
    <t>しめじ</t>
  </si>
  <si>
    <t>出し汁</t>
  </si>
  <si>
    <t>上白糖</t>
  </si>
  <si>
    <t>酒</t>
  </si>
  <si>
    <t>醤油</t>
  </si>
  <si>
    <t>小麦</t>
  </si>
  <si>
    <t>冷凍むき枝豆</t>
  </si>
  <si>
    <t>中国</t>
  </si>
  <si>
    <t>冷蔵イシイミートボール</t>
  </si>
  <si>
    <t>Ｐ</t>
  </si>
  <si>
    <t>刻みのり</t>
  </si>
  <si>
    <t>日本</t>
  </si>
  <si>
    <t>※18</t>
  </si>
  <si>
    <t>お豆腐ハンバーグ</t>
  </si>
  <si>
    <t>①玉ねぎはみじん切りにして炒め、冷まします。_x000D_</t>
  </si>
  <si>
    <t>③千切りにしたキャベツは茹で、トマトは茹でて食べやすい大きさに切り、②に添えて下さい。_x000D_</t>
  </si>
  <si>
    <t>※加熱調理する際は中心部75℃で1分以上加熱したことを確認して下さい。</t>
  </si>
  <si>
    <t>国産鶏モモ挽肉(加熱用)</t>
  </si>
  <si>
    <t>充てん豆腐</t>
  </si>
  <si>
    <t>丁</t>
  </si>
  <si>
    <t>玉ねぎ</t>
  </si>
  <si>
    <t>パン粉</t>
  </si>
  <si>
    <t>アメリカ、カナダ</t>
  </si>
  <si>
    <t>油</t>
  </si>
  <si>
    <t>味噌</t>
  </si>
  <si>
    <t>みりん風調味料</t>
  </si>
  <si>
    <t>キャベツ</t>
  </si>
  <si>
    <t>トマト</t>
  </si>
  <si>
    <t>すまし汁</t>
  </si>
  <si>
    <t>大根</t>
  </si>
  <si>
    <t>玉子</t>
  </si>
  <si>
    <t>卵</t>
  </si>
  <si>
    <t>ヶ</t>
  </si>
  <si>
    <t>精製塩</t>
  </si>
  <si>
    <t>フルーツ（柿）</t>
  </si>
  <si>
    <t>※原料のまま流水できれいに洗って下さい。</t>
  </si>
  <si>
    <t>柿</t>
  </si>
  <si>
    <t>昼</t>
  </si>
  <si>
    <t>牛乳</t>
  </si>
  <si>
    <t>乳</t>
  </si>
  <si>
    <t>cc</t>
  </si>
  <si>
    <t>じゃが芋</t>
  </si>
  <si>
    <t>枚</t>
  </si>
  <si>
    <t>片栗粉</t>
  </si>
  <si>
    <t>小麦粉</t>
  </si>
  <si>
    <t>人参</t>
  </si>
  <si>
    <t>骨抜き助宗タラ３０</t>
  </si>
  <si>
    <t>アメリカ・中国</t>
  </si>
  <si>
    <t>切</t>
  </si>
  <si>
    <t>水</t>
  </si>
  <si>
    <t>かぼちゃ</t>
  </si>
  <si>
    <t>①野菜は食べやすい大きさに切り、肉は酒をふります。_x000D_</t>
  </si>
  <si>
    <t>国産豚もも小間</t>
  </si>
  <si>
    <t>白菜</t>
  </si>
  <si>
    <t>ピーマン</t>
  </si>
  <si>
    <t>こしょう</t>
  </si>
  <si>
    <t>みそ汁</t>
  </si>
  <si>
    <t>長ねぎ</t>
  </si>
  <si>
    <t>フルーツ(りんご)</t>
  </si>
  <si>
    <t>りんご</t>
  </si>
  <si>
    <t>鉄ふりかけ　大豆</t>
  </si>
  <si>
    <t>小麦※18</t>
    <phoneticPr fontId="16"/>
  </si>
  <si>
    <t>万能ねぎ</t>
  </si>
  <si>
    <t>冷凍カーネルコーン</t>
  </si>
  <si>
    <t>アメリカ</t>
  </si>
  <si>
    <t>白いりごま</t>
  </si>
  <si>
    <t>パラグアイ、グァテマラ、メキシコ、ボリビア、エチオピア等</t>
  </si>
  <si>
    <t>マヨネーズ</t>
  </si>
  <si>
    <t>卵・小麦</t>
  </si>
  <si>
    <t>カットワカメ（韓国産）</t>
  </si>
  <si>
    <t>韓国</t>
  </si>
  <si>
    <t>えのき茸</t>
  </si>
  <si>
    <t>ヨーグルト</t>
  </si>
  <si>
    <t>①砂糖・水を火にかけてシロップを作り冷まします。_x000D_</t>
  </si>
  <si>
    <t>②①とヨーグルトを合わせてください。_x000D_</t>
  </si>
  <si>
    <t>※甘さは砂糖で調節して下さい。_x000D_</t>
  </si>
  <si>
    <t>ﾌﾟﾚｰﾝﾖｰｸﾞﾙﾄ</t>
  </si>
  <si>
    <t>スパゲッティ</t>
  </si>
  <si>
    <t>カナダ</t>
  </si>
  <si>
    <t>バター</t>
  </si>
  <si>
    <t>国産鶏もも小間(加熱用)</t>
  </si>
  <si>
    <t>ケチャップ</t>
  </si>
  <si>
    <t>ウスターソース</t>
  </si>
  <si>
    <t>冷凍グリンピース</t>
  </si>
  <si>
    <t>パセリ</t>
  </si>
  <si>
    <t>②調味料を煮立てて冷まし、①と和えて下さい。_x000D_</t>
  </si>
  <si>
    <t>きゅうり</t>
  </si>
  <si>
    <t>酢</t>
  </si>
  <si>
    <t>スープ</t>
  </si>
  <si>
    <t>小松菜</t>
  </si>
  <si>
    <t>コンソメ</t>
  </si>
  <si>
    <t>乳・小麦</t>
  </si>
  <si>
    <t>さつま芋</t>
  </si>
  <si>
    <t>骨抜きカラスカレイ３０</t>
  </si>
  <si>
    <t>ロシア・中国</t>
  </si>
  <si>
    <t>豆腐の野菜あんかけ</t>
  </si>
  <si>
    <t>①豆腐は食べやすい大きさに切り茹でます。肉は酒をふります。_x000D_</t>
  </si>
  <si>
    <t>②野菜は食べやすい大きさに切ります。_x000D_</t>
  </si>
  <si>
    <t>③鍋にごま油を熱し、肉・②を炒め合わせて、出し汁・砂糖・みりん・正油を入れて煮ます。_x000D_</t>
  </si>
  <si>
    <t>④水溶き片栗粉でとろみを付けて豆腐にかけ、茹でて食べやすい大きさに切ったインゲンを散らして下さい。_x000D_</t>
  </si>
  <si>
    <t>ごま油</t>
  </si>
  <si>
    <t>冷凍カットインゲン</t>
  </si>
  <si>
    <t>白菜の和風ツナ和え</t>
  </si>
  <si>
    <t>①野菜は食べやすい大きさに切り茹で冷まし、ツナは汁気をきります。_x000D_</t>
  </si>
  <si>
    <t>②調味料を煮立て冷まし、①を和えて下さい。_x000D_</t>
  </si>
  <si>
    <t>ツナフレーク缶</t>
  </si>
  <si>
    <t>タイ</t>
  </si>
  <si>
    <t>フルーツ（オレンジ）</t>
  </si>
  <si>
    <t>ネーブル</t>
  </si>
  <si>
    <t>本</t>
  </si>
  <si>
    <t>②調味料を煮立てて冷まし、①を和えて下さい。_x000D_</t>
  </si>
  <si>
    <t>花ふ</t>
  </si>
  <si>
    <t>11月1日(金)配達/11月5日(火)食</t>
    <phoneticPr fontId="3"/>
  </si>
  <si>
    <t>ポークカレーライス</t>
  </si>
  <si>
    <t>①材料を食べやすい大きさに切り、芋は水にさらし、肉は酒をふります。_x000D_</t>
  </si>
  <si>
    <t>②熱した油で肉・野菜を炒めて、水・牛乳を加えて煮ます。_x000D_</t>
  </si>
  <si>
    <t>③材料が柔らかくなったらルーを加えて煮込み、砂糖・ケチャップで味を調えて下さい。_x000D_</t>
  </si>
  <si>
    <t>※水の量は調節して下さい。_x000D_</t>
  </si>
  <si>
    <t>冷凍シャトーキャロット</t>
  </si>
  <si>
    <t>とろけるカレー　甘口</t>
  </si>
  <si>
    <t>カリフラワーとコーンサラダ</t>
  </si>
  <si>
    <t>①材料は食べやすい大きさに切って茹で冷まします。_x000D_</t>
  </si>
  <si>
    <t>②①を煮たて冷ました調味料で和えて下さい。_x000D_</t>
  </si>
  <si>
    <t>冷凍カリフラワー</t>
  </si>
  <si>
    <t>フルーツ（パイン缶）</t>
  </si>
  <si>
    <t>インドネシア</t>
  </si>
  <si>
    <t>小麦※14</t>
    <phoneticPr fontId="16"/>
  </si>
  <si>
    <t>冷凍国産大豆</t>
  </si>
  <si>
    <t>あおさ粉</t>
  </si>
  <si>
    <t>11月5日(火)配達/11月6日(水)食</t>
    <phoneticPr fontId="3"/>
  </si>
  <si>
    <t>秋鮭とほうれん草のグラタン風</t>
  </si>
  <si>
    <t>①バターを溶かし、小麦粉をよく炒めます。50～60℃に温めた牛乳を少量ずつ加えて注ぎのばし、ホワイトソースを作ります。_x000D_</t>
  </si>
  <si>
    <t>③熱した油で玉ねぎを炒めて、塩・こしょうで調味します。_x000D_</t>
  </si>
  <si>
    <t>④ホワイトソースに③・ほうれん草を加えて混ぜます。_x000D_</t>
  </si>
  <si>
    <t>⑤天板に魚を並べて④をかけ、パン粉をかけて、強火のオーブンで5分程度（焦げ目がつくぐらいまで）焼いて下さい。_x000D_</t>
  </si>
  <si>
    <t>骨抜き秋鮭３０</t>
  </si>
  <si>
    <t>北海道・中国</t>
  </si>
  <si>
    <t>ほうれん草</t>
  </si>
  <si>
    <t>かぼちゃの塩バター煮</t>
  </si>
  <si>
    <t>①かぼちゃは角切りにし、水（かぼちゃの半分ぐらいの高さ）・塩・砂糖で煮ます。_x000D_</t>
  </si>
  <si>
    <t>※水分をとばすのは、こふき芋を作る要領です。_x000D_</t>
  </si>
  <si>
    <t>かぶ</t>
  </si>
  <si>
    <t>フルーツ（りんご）</t>
  </si>
  <si>
    <t>水菜</t>
  </si>
  <si>
    <t>11月6日(水)配達/11月7日(木)食</t>
    <phoneticPr fontId="3"/>
  </si>
  <si>
    <t>スパゲッティミートソース</t>
  </si>
  <si>
    <t>①玉ねぎ・人参はみじん切りにします。_x000D_</t>
  </si>
  <si>
    <t>②熱した油で肉・①を炒め、小麦粉を加えて全体に混ぜ合わせます。_x000D_</t>
  </si>
  <si>
    <t>水・酒・ケチャップ・ウスターソース・砂糖を加えて煮立たせます。_x000D_</t>
  </si>
  <si>
    <t>③スパゲッティはたっぷりのお湯で9～10分茹でてバターをからめて、器に盛り②をかけます。_x000D_</t>
  </si>
  <si>
    <t>④茹でたグリンピースを散らして下さい。_x000D_</t>
  </si>
  <si>
    <t>国産豚挽肉</t>
  </si>
  <si>
    <t>大根とブロッコリーの玉子サラダ</t>
  </si>
  <si>
    <t>ブロッコリー</t>
  </si>
  <si>
    <t>なす</t>
  </si>
  <si>
    <t>11月7日(木)配達/11月8日(金)食</t>
    <phoneticPr fontId="3"/>
  </si>
  <si>
    <t>鉄分強化！ふりかけごはん</t>
  </si>
  <si>
    <t>小麦※18</t>
    <phoneticPr fontId="16"/>
  </si>
  <si>
    <t>カラスカレイの竜田揚げ</t>
  </si>
  <si>
    <t>①魚は水けをふきとり食べやすい大きさに切り、生姜汁・みりん・正油で下味をつけます。_x000D_</t>
  </si>
  <si>
    <t>②片栗粉をまぶして揚げます。_x000D_</t>
  </si>
  <si>
    <t>生姜</t>
  </si>
  <si>
    <t>もやしと人参のサラダ</t>
  </si>
  <si>
    <t>①食べやすい大きさに切った野菜は茹で冷まします。_x000D_</t>
  </si>
  <si>
    <t>もやし</t>
  </si>
  <si>
    <t>フルーツ（バナナ）</t>
  </si>
  <si>
    <t>バナナ</t>
  </si>
  <si>
    <t>厚揚げ</t>
  </si>
  <si>
    <t>11月8日(金)配達/11月11日(月)食</t>
    <phoneticPr fontId="3"/>
  </si>
  <si>
    <t>コーンピラフ</t>
  </si>
  <si>
    <t>クリームシチュー</t>
  </si>
  <si>
    <t>①玉ねぎは薄切りに、その他の材料は食べやすく角切りにし、芋は水にさらします。_x000D_</t>
  </si>
  <si>
    <t>②材料を炒め合わせて、水を加えて煮ます。_x000D_</t>
  </si>
  <si>
    <t>ハウス　クリームシチューミクス</t>
  </si>
  <si>
    <t>まめサラダ</t>
  </si>
  <si>
    <t>①トマトは茹でて角切りにし、冷まします。きゅうりは角切りにして茹で冷まします。大豆は茹で冷まします。_x000D_</t>
  </si>
  <si>
    <t>②調味料を煮立てて冷まし、材料を和えて下さい。_x000D_</t>
  </si>
  <si>
    <t>11月11日(月)配達/11月12日(火)食</t>
    <phoneticPr fontId="3"/>
  </si>
  <si>
    <t>助宗タラと秋野菜の甘辛揚げ</t>
  </si>
  <si>
    <t>魚・れんこんに片栗粉をまぶします。_x000D_</t>
  </si>
  <si>
    <t>※食数が多い場合は芋をイチョウ切りにしてもよいでしょう。_x000D_</t>
  </si>
  <si>
    <t>②170度ぐらいに熱した油で①を揚げます。_x000D_</t>
  </si>
  <si>
    <t>③調味料を煮立てて、②・ごまを絡めて下さい。_x000D_</t>
  </si>
  <si>
    <t>れんこん</t>
  </si>
  <si>
    <t>三色和え</t>
  </si>
  <si>
    <t>①野菜は食べやすい大きさに切って茹で冷まします。_x000D_</t>
  </si>
  <si>
    <t>玉子は溶きほぐして、熱した油で炒り玉子にして冷まします。_x000D_</t>
  </si>
  <si>
    <t>11月12日(火)配達/11月13日(水)食</t>
    <phoneticPr fontId="3"/>
  </si>
  <si>
    <t>肉うどん</t>
  </si>
  <si>
    <t>②熱した油で肉・野菜を炒めます。だし汁を加えて煮、具材に火が通ったら調味料を加えます。_x000D_</t>
  </si>
  <si>
    <t>③麺は12分程茹でて洗い、器に盛って②をかけて下さい。_x000D_</t>
  </si>
  <si>
    <t>（干）うどん</t>
  </si>
  <si>
    <t>オーストラリア、日本</t>
  </si>
  <si>
    <t>小麦※14</t>
    <phoneticPr fontId="16"/>
  </si>
  <si>
    <t>厚揚げのきのこあんかけ</t>
  </si>
  <si>
    <t>①厚揚げは油抜きして水気をきり、食べやすい大きさに切ります。_x000D_</t>
  </si>
  <si>
    <t>②①を出し汁・醤油・砂糖で煮て味をしみ込ませます。_x000D_</t>
  </si>
  <si>
    <t>③きのこは石づきを取って食べやすい大きさに切ります。_x000D_</t>
  </si>
  <si>
    <t>⑤刻んだ万能ねぎを茹でて散らして下さい。_x000D_</t>
  </si>
  <si>
    <t>11月13日(水)配達/11月14日(木)食</t>
    <phoneticPr fontId="3"/>
  </si>
  <si>
    <t>ケチャップライスのふわふわ玉子のせ</t>
  </si>
  <si>
    <t>①野菜はみじん切りします。_x000D_</t>
  </si>
  <si>
    <t>②肉・野菜の順にバターで炒め合わせて、塩・ケチャップを加えます。_x000D_</t>
  </si>
  <si>
    <t>③炊き上がったご飯に②・茹でたグリンピースを混ぜ込みます。_x000D_</t>
  </si>
  <si>
    <t>④玉子は塩・こしょうで調味して炒り玉子にします。_x000D_</t>
  </si>
  <si>
    <t>⑤器に③のごはんを盛り、④を添えてケチャップをかけて下さい。_x000D_</t>
  </si>
  <si>
    <t>※玉子は薄焼き玉子にして、覆いかぶせてオムライスにしてもよいでしょう。_x000D_</t>
  </si>
  <si>
    <t>くるくるマカロニサラダ</t>
  </si>
  <si>
    <t>①マカロニは8～10分茹でます。_x000D_</t>
  </si>
  <si>
    <t>②野菜は食べやすい大きさに切り茹でます。_x000D_</t>
  </si>
  <si>
    <t>③①・②を冷まし、煮立て冷ました調味料で和えて下さい。_x000D_</t>
  </si>
  <si>
    <t>ツイストマカロニ</t>
  </si>
  <si>
    <t>アメリカ、カナダ、オーストラリア</t>
  </si>
  <si>
    <t>11月14日(木)配達/11月15日(金)食</t>
    <phoneticPr fontId="3"/>
  </si>
  <si>
    <t>●花ちらし寿司</t>
  </si>
  <si>
    <t>①酢・砂糖・塩を煮立たせて、炊き上がったご飯に混ぜます。_x000D_</t>
  </si>
  <si>
    <t>②ツナは汁気をきって①に混ぜます。_x000D_</t>
  </si>
  <si>
    <t>③輪切りにしたきゅうり・コーンは茹で冷まします。_x000D_</t>
  </si>
  <si>
    <t>④ご飯を花の形に盛り付け、上に③を彩りよく盛り付けて下さい。_x000D_</t>
  </si>
  <si>
    <t>●にっこりハンバーグ</t>
  </si>
  <si>
    <t>③半月切りにした人参は水・バター・砂糖・塩で煮てクマの耳に、茹でた枝豆は鼻に_x000D_</t>
  </si>
  <si>
    <t>見立てて盛り付けます。_x000D_</t>
  </si>
  <si>
    <t>※写真を参考に盛りつけて下さい。_x000D_</t>
  </si>
  <si>
    <t>木綿豆腐</t>
  </si>
  <si>
    <t>11月15日(金)配達/11月18日(月)食</t>
    <phoneticPr fontId="3"/>
  </si>
  <si>
    <t>11月18日(月)配達/11月19日(火)食</t>
    <phoneticPr fontId="3"/>
  </si>
  <si>
    <t>きゅうりとコーンサラダ</t>
  </si>
  <si>
    <t>11月19日(火)配達/11月20日(水)食</t>
    <phoneticPr fontId="3"/>
  </si>
  <si>
    <t>11月20日(水)配達/11月21日(木)食</t>
    <phoneticPr fontId="3"/>
  </si>
  <si>
    <t>11月21日(木)配達/11月22日(金)食</t>
    <phoneticPr fontId="3"/>
  </si>
  <si>
    <t>11月22日(金)配達/11月25日(月)食</t>
    <phoneticPr fontId="3"/>
  </si>
  <si>
    <t>11月25日(月)配達/11月26日(火)食</t>
    <phoneticPr fontId="3"/>
  </si>
  <si>
    <t>11月26日(火)配達/11月27日(水)食</t>
    <phoneticPr fontId="3"/>
  </si>
  <si>
    <t>11月27日(水)配達/11月28日(木)食</t>
    <phoneticPr fontId="3"/>
  </si>
  <si>
    <t>11月28日(木)配達/11月29日(金)食</t>
    <phoneticPr fontId="3"/>
  </si>
  <si>
    <t>③もやし・水菜は茹でて塩・ごま油で和えて添えて下さい。_x000D_</t>
  </si>
  <si>
    <t>キャベツと人参のサラダ</t>
  </si>
  <si>
    <t>①食材は食べやすい大きさに切り茹で冷まします。_x000D_</t>
  </si>
  <si>
    <t>パイン缶　</t>
    <phoneticPr fontId="16"/>
  </si>
  <si>
    <t>茹でたむき枝豆を目、ミートボールを鼻・刻み海苔をひげにして盛り付けて下さい。</t>
  </si>
  <si>
    <t>②肉・①・よく水切りした豆腐・パン粉・みそ・みりんを練り混ぜ、</t>
    <phoneticPr fontId="16"/>
  </si>
  <si>
    <t>人数分の小判型にまとめてフライパン等で焼き、お皿に盛り付けます。</t>
  </si>
  <si>
    <t>※芋をやわらかくなるまで電子レンジで加熱又は茹で冷まし、</t>
    <phoneticPr fontId="16"/>
  </si>
  <si>
    <t>他の材料を煮込んだ後に加えると、煮崩れを防ぐことができます。</t>
  </si>
  <si>
    <t>②玉ねぎは薄切りにします。ほうれん草は茹でて水気を絞り、ザク切りにします。</t>
    <phoneticPr fontId="16"/>
  </si>
  <si>
    <t>魚は食べやすい大きさに切って水気をよくふき取り、塩・酒をふり、グリル等で焼きます。</t>
  </si>
  <si>
    <t>※オーブンで焼かない場合は、魚に④をかけて、フライパンで炒ったパン粉（きつね色になるまで）</t>
    <phoneticPr fontId="16"/>
  </si>
  <si>
    <t>をふって提供してもよいでしょう。牛乳はあらかじめ温めておくとだまになりにくくなります。</t>
    <phoneticPr fontId="16"/>
  </si>
  <si>
    <t>①野菜は食べやすい大きさに切って茹で冷まし、ツナは汁気を切ります。</t>
    <phoneticPr fontId="16"/>
  </si>
  <si>
    <t>玉子は茹でて食べやすい大きさに切って冷まします。</t>
  </si>
  <si>
    <t>③芋は食べやすい大きさに切り茹でて、やわらかくなったら汁気を切り、</t>
    <phoneticPr fontId="16"/>
  </si>
  <si>
    <t>再度火にかけて鍋をふりながら水分をとばして、塩・あおさ粉をふり、魚に添えて下さい。</t>
  </si>
  <si>
    <t>③野菜が柔らかくなったらいったん火を止めてルーを溶かし、再び火にかけてコトコト煮込みます。</t>
    <phoneticPr fontId="16"/>
  </si>
  <si>
    <t>最後に牛乳を加えて煮、茹でて刻んだパセリを散らして下さい。</t>
  </si>
  <si>
    <t>①魚・芋はサイコロ状又はスティック状に切り、芋は水にさらして水気をふき取ります。れんこん・</t>
    <phoneticPr fontId="16"/>
  </si>
  <si>
    <t>ピーマンは食べやすい大きさに切り、れんこんは水にさらして水気をふき取ります。</t>
  </si>
  <si>
    <t>④熱したごま油で③を炒め、だし汁・みりん・正油で煮ます。野菜が柔らかくなったら、</t>
    <phoneticPr fontId="16"/>
  </si>
  <si>
    <t>水溶き片栗粉でとろみをつけ、②にかけます。</t>
  </si>
  <si>
    <t>④食べやすい大きさに切って茹でたキャベツ・茹でて食べやすい大きさに切ったトマトを手前に盛り付け、</t>
  </si>
  <si>
    <t>ケチャップで目・口を描いて下さい。</t>
  </si>
  <si>
    <t>②肉・①・水切りした豆腐・パン粉・みそ・みりんを練り混ぜ、人数分の小判型に</t>
    <phoneticPr fontId="16"/>
  </si>
  <si>
    <t>まとめてフライパン等で焼き、お皿に盛り付けます。</t>
  </si>
  <si>
    <t>※芋をやわらかくなるまで電子レンジで加熱又は茹で冷まし、他の材料を煮込んだ後に加えると、</t>
    <phoneticPr fontId="16"/>
  </si>
  <si>
    <t>煮崩れを防ぐことができます。</t>
  </si>
  <si>
    <t>※オーブンで焼かない場合は、魚に④をかけて、フライパンで炒ったパン粉（きつね色になるまで）を</t>
    <phoneticPr fontId="16"/>
  </si>
  <si>
    <t>ふって提供してもよいでしょう。牛乳はあらかじめ温めておくとだまになりにくくなります。</t>
  </si>
  <si>
    <t>①野菜は食べやすい大きさに切って茹で冷まし、ツナは汁気を切ります。</t>
    <phoneticPr fontId="16"/>
  </si>
  <si>
    <t>①魚・芋はサイコロ状又はスティック状に切り、芋は水にさらして水気をふき取ります。</t>
    <phoneticPr fontId="16"/>
  </si>
  <si>
    <t>れんこん・ピーマンは食べやすい大きさに切り、れんこんは水にさらして水気をふき取ります。</t>
  </si>
  <si>
    <t>②肉・①・水切りした豆腐・パン粉・みそ・みりんを練り混ぜ、人数分の小判型にまとめて</t>
    <phoneticPr fontId="16"/>
  </si>
  <si>
    <t>フライパン等で焼き、お皿に盛り付けます。</t>
  </si>
  <si>
    <t>☆イベント献立☆</t>
    <rPh sb="5" eb="7">
      <t>コンダテ</t>
    </rPh>
    <phoneticPr fontId="16"/>
  </si>
  <si>
    <t>＜盛り付けイメージ＞</t>
    <rPh sb="1" eb="2">
      <t>モ</t>
    </rPh>
    <rPh sb="3" eb="4">
      <t>ツ</t>
    </rPh>
    <phoneticPr fontId="16"/>
  </si>
  <si>
    <t>☆イベントメニュー☆</t>
    <phoneticPr fontId="16"/>
  </si>
  <si>
    <t>③炊き上がったら具を全体に混ぜ込み、きつねの顔の形に盛ります。</t>
  </si>
  <si>
    <t>②研いだ米に正油・水（調味料と合わせて通常の炊飯水量）を加えて軽く混ぜます。</t>
    <phoneticPr fontId="16"/>
  </si>
  <si>
    <t>上に①を広げてのせ、炊飯します。</t>
  </si>
  <si>
    <t>②かぼちゃがやわらかくなり水分が少なくなってきたら、バターを加えてフタをして</t>
    <phoneticPr fontId="16"/>
  </si>
  <si>
    <t>ゆすりながら軽く水分をとばし下さい。</t>
  </si>
  <si>
    <t>①研いだ米に調味料・水（通常の水加減）を加えて軽く混ぜます。</t>
    <phoneticPr fontId="16"/>
  </si>
  <si>
    <t>②上にコーンを広げてのせ、炊飯して下さい。</t>
  </si>
  <si>
    <t>①研いだ米に調味料・水（通常の水加減）を加えて軽く混ぜます。</t>
    <phoneticPr fontId="16"/>
  </si>
  <si>
    <t>特定アレルゲン表示　　　　　　　　　　　　　　　　　　　　　　　　　　　　　　　　　　　　　　　　　　　　　　　　　　　　　　　　　　　　　　　　　　　　　　　　　　　　　　　　　　　　　　　　　　　　　　　　　　　　　　　　　　　　　　　　　　　　　　　　　　　　　　　　　　　　　　　　　　　　　　　　　　　　　　　　　　　　　　　　</t>
    <rPh sb="0" eb="2">
      <t>トクテイ</t>
    </rPh>
    <rPh sb="7" eb="9">
      <t>ヒョウジ</t>
    </rPh>
    <phoneticPr fontId="3"/>
  </si>
  <si>
    <t>キッズ</t>
    <phoneticPr fontId="3"/>
  </si>
  <si>
    <t>昼食</t>
    <rPh sb="0" eb="2">
      <t>チュウショク</t>
    </rPh>
    <phoneticPr fontId="3"/>
  </si>
  <si>
    <t>３色食品群</t>
    <rPh sb="1" eb="2">
      <t>ショク</t>
    </rPh>
    <rPh sb="2" eb="5">
      <t>ショクヒングン</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</si>
  <si>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</si>
  <si>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</si>
  <si>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</si>
  <si>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</si>
  <si>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</si>
  <si>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</si>
  <si>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
  </si>
  <si>
    <t>1
金</t>
    <rPh sb="2" eb="3">
      <t>キン</t>
    </rPh>
    <phoneticPr fontId="3"/>
  </si>
  <si>
    <t>イベント献立</t>
    <rPh sb="4" eb="6">
      <t>コンダテ</t>
    </rPh>
    <phoneticPr fontId="3"/>
  </si>
  <si>
    <t>こぎつねご飯</t>
    <phoneticPr fontId="3"/>
  </si>
  <si>
    <t>ご飯・パン粉・砂糖・油・鈴カステラ・せんべい</t>
    <rPh sb="12" eb="13">
      <t>スズ</t>
    </rPh>
    <phoneticPr fontId="3"/>
  </si>
  <si>
    <t>ミートボール・牛乳・玉子・鶏肉・豆腐・油揚げ</t>
    <phoneticPr fontId="3"/>
  </si>
  <si>
    <t>キャベツ・しめじ・トマト・のり・柿・玉ねぎ・枝豆・大根</t>
  </si>
  <si>
    <t>kcal</t>
    <phoneticPr fontId="3"/>
  </si>
  <si>
    <t>乳・卵・小麦_x000D_
※18</t>
    <phoneticPr fontId="3"/>
  </si>
  <si>
    <t>月</t>
  </si>
  <si>
    <t>ごま油・ご飯・バター・砂糖・片栗粉・油</t>
    <rPh sb="18" eb="19">
      <t>アブラ</t>
    </rPh>
    <phoneticPr fontId="3"/>
  </si>
  <si>
    <t>ツナフレーク缶・牛乳・豆腐・豚肉・鶏肉</t>
    <rPh sb="17" eb="19">
      <t>トリニク</t>
    </rPh>
    <phoneticPr fontId="3"/>
  </si>
  <si>
    <t>インゲン・オレンジ・ワカメ・玉ねぎ・人参・長ねぎ・白菜・コーン・グリンピース</t>
    <phoneticPr fontId="3"/>
  </si>
  <si>
    <t>乳・卵・小麦</t>
  </si>
  <si>
    <t>ｇ</t>
    <phoneticPr fontId="3"/>
  </si>
  <si>
    <t>鈴カステラ</t>
    <rPh sb="0" eb="1">
      <t>スズ</t>
    </rPh>
    <phoneticPr fontId="3"/>
  </si>
  <si>
    <t>ピラフ風</t>
    <rPh sb="3" eb="4">
      <t>フウ</t>
    </rPh>
    <phoneticPr fontId="3"/>
  </si>
  <si>
    <t>ｇ</t>
    <phoneticPr fontId="3"/>
  </si>
  <si>
    <t>せんべい</t>
    <phoneticPr fontId="3"/>
  </si>
  <si>
    <t>火</t>
  </si>
  <si>
    <t>ご飯・砂糖・油・マカロニ</t>
    <phoneticPr fontId="3"/>
  </si>
  <si>
    <t>牛乳・豆乳・豚肉・きなこ</t>
    <phoneticPr fontId="3"/>
  </si>
  <si>
    <t>きゅうり・コーン・りんご・レーズン・玉ねぎ・人参</t>
  </si>
  <si>
    <t>kcal</t>
    <phoneticPr fontId="3"/>
  </si>
  <si>
    <t>乳・小麦_x000D_
※28</t>
    <phoneticPr fontId="3"/>
  </si>
  <si>
    <t>マカロニきなこ</t>
    <phoneticPr fontId="3"/>
  </si>
  <si>
    <t>ご飯・じゃが芋・砂糖・油・マカロニ</t>
    <phoneticPr fontId="3"/>
  </si>
  <si>
    <t>牛乳・豆乳・豚肉・きなこ</t>
    <phoneticPr fontId="3"/>
  </si>
  <si>
    <t>カリフラワー・コーン・パイナップル缶・レーズン・玉ねぎ・人参</t>
  </si>
  <si>
    <t>kcal</t>
    <phoneticPr fontId="3"/>
  </si>
  <si>
    <t>乳・小麦_x000D_
※28</t>
    <phoneticPr fontId="3"/>
  </si>
  <si>
    <t>ご飯・バター・パン粉・砂糖・小麦粉・油・食パン・イチゴジャム</t>
    <rPh sb="20" eb="21">
      <t>ショク</t>
    </rPh>
    <phoneticPr fontId="3"/>
  </si>
  <si>
    <t>牛乳・秋鮭</t>
    <phoneticPr fontId="3"/>
  </si>
  <si>
    <t>かぼちゃ・バナナ・ほうれん草・もやし・玉ねぎ・人参</t>
  </si>
  <si>
    <t>ジャムサンド</t>
    <phoneticPr fontId="3"/>
  </si>
  <si>
    <t>ご飯・バター・パン粉・砂糖・小麦粉・油食パン・イチゴジャム</t>
    <rPh sb="19" eb="20">
      <t>ショク</t>
    </rPh>
    <phoneticPr fontId="3"/>
  </si>
  <si>
    <t>かぶ・かぼちゃ・ほうれん草・りんご・玉ねぎ・人参</t>
  </si>
  <si>
    <t>木</t>
  </si>
  <si>
    <t>スパゲッティ・バター・マヨネーズ・砂糖・小麦粉・油・ホットケーキミックス・さつま芋</t>
    <rPh sb="40" eb="41">
      <t>イモ</t>
    </rPh>
    <phoneticPr fontId="3"/>
  </si>
  <si>
    <t>ツナフレーク缶・牛乳・玉子・豚肉・豆乳</t>
    <rPh sb="17" eb="19">
      <t>トウニュウ</t>
    </rPh>
    <phoneticPr fontId="3"/>
  </si>
  <si>
    <t>キャベツ・グリンピース・コーン・ブロッコリー・玉ねぎ・人参・大根</t>
    <phoneticPr fontId="3"/>
  </si>
  <si>
    <t>kcal</t>
    <phoneticPr fontId="3"/>
  </si>
  <si>
    <t>ｇ</t>
    <phoneticPr fontId="3"/>
  </si>
  <si>
    <t>鬼蒸しパン</t>
    <rPh sb="0" eb="1">
      <t>オニ</t>
    </rPh>
    <rPh sb="1" eb="2">
      <t>ム</t>
    </rPh>
    <phoneticPr fontId="3"/>
  </si>
  <si>
    <t>(さつま芋蒸しパン)</t>
  </si>
  <si>
    <t>金</t>
  </si>
  <si>
    <t>ごま油・ご飯・じゃが芋・花ふ・砂糖・片栗粉・油・ビスケット･せんべい</t>
    <phoneticPr fontId="3"/>
  </si>
  <si>
    <t>カラスカレイ・牛乳</t>
  </si>
  <si>
    <t>あおさ粉・バナナ・もやし・ワカメ・人参・生姜</t>
    <phoneticPr fontId="3"/>
  </si>
  <si>
    <t>乳・小麦_x000D_
※18</t>
    <phoneticPr fontId="3"/>
  </si>
  <si>
    <t>ビスケット</t>
    <phoneticPr fontId="3"/>
  </si>
  <si>
    <t>ごま油・ご飯・じゃが芋・花ふ・砂糖・片栗粉・油・バームクーヘン・せんべい</t>
    <phoneticPr fontId="3"/>
  </si>
  <si>
    <t>せんべい</t>
    <phoneticPr fontId="3"/>
  </si>
  <si>
    <t>バームクーヘン</t>
    <phoneticPr fontId="3"/>
  </si>
  <si>
    <t>ご飯・じゃが芋・バター・マヨネーズ・砂糖・油・ホットケーキミックス</t>
    <phoneticPr fontId="3"/>
  </si>
  <si>
    <t>牛乳・鶏肉・大豆・豆乳・豆腐</t>
    <rPh sb="12" eb="14">
      <t>トウフ</t>
    </rPh>
    <phoneticPr fontId="3"/>
  </si>
  <si>
    <t>きゅうり・コーン・トマト・パセリ・りんご・レーズン・玉ねぎ・人参</t>
  </si>
  <si>
    <t>豆腐入りドーナツ</t>
    <rPh sb="0" eb="2">
      <t>トウフ</t>
    </rPh>
    <rPh sb="2" eb="3">
      <t>イ</t>
    </rPh>
    <phoneticPr fontId="3"/>
  </si>
  <si>
    <t>ごま・ご飯・さつま芋・砂糖・片栗粉・油</t>
    <phoneticPr fontId="3"/>
  </si>
  <si>
    <t>スケソウタラ・牛乳・玉子・豆腐・豚肉</t>
    <rPh sb="16" eb="18">
      <t>ブタニク</t>
    </rPh>
    <phoneticPr fontId="3"/>
  </si>
  <si>
    <t>キャベツ・ピーマン・れんこん・ワカメ・柿・人参・玉ねぎ・エリンギ・えのき・あおさ粉</t>
    <rPh sb="24" eb="25">
      <t>タマ</t>
    </rPh>
    <rPh sb="40" eb="41">
      <t>コ</t>
    </rPh>
    <phoneticPr fontId="3"/>
  </si>
  <si>
    <t>きのこ雑炊</t>
    <rPh sb="3" eb="5">
      <t>ゾウスイ</t>
    </rPh>
    <phoneticPr fontId="3"/>
  </si>
  <si>
    <t>うどん・ごま油・砂糖・片栗粉・油・さつま芋・焼き菓子・ごま</t>
    <phoneticPr fontId="3"/>
  </si>
  <si>
    <t>ヨーグルト・牛乳・厚揚げ・豚肉</t>
  </si>
  <si>
    <t>えのき茸・小松菜・人参・大根・万能ねぎ</t>
    <phoneticPr fontId="3"/>
  </si>
  <si>
    <t>乳・小麦_x000D_
※14・※28</t>
    <phoneticPr fontId="3"/>
  </si>
  <si>
    <t>スイートポテト</t>
    <phoneticPr fontId="3"/>
  </si>
  <si>
    <t>うどん・ごま油・砂糖・片栗粉・油・さつま芋・バター・焼き菓子・ごま</t>
    <phoneticPr fontId="3"/>
  </si>
  <si>
    <t>焼き菓子</t>
    <rPh sb="0" eb="1">
      <t>ヤ</t>
    </rPh>
    <rPh sb="2" eb="4">
      <t>ガシ</t>
    </rPh>
    <phoneticPr fontId="3"/>
  </si>
  <si>
    <t>ご飯・ツイストマカロニ・バター・マヨネーズ・砂糖・油・ホットケーキミックス</t>
    <phoneticPr fontId="3"/>
  </si>
  <si>
    <t>牛乳・玉子・鶏肉・おから・豆乳</t>
    <rPh sb="13" eb="15">
      <t>トウニュウ</t>
    </rPh>
    <phoneticPr fontId="3"/>
  </si>
  <si>
    <t>オレンジ・きゅうり・グリンピース・なす・玉ねぎ・人参・白菜</t>
    <phoneticPr fontId="3"/>
  </si>
  <si>
    <t>kcal</t>
    <phoneticPr fontId="3"/>
  </si>
  <si>
    <t>乳・卵・小麦_x000D_
※15・※18</t>
    <phoneticPr fontId="3"/>
  </si>
  <si>
    <t>ｇ</t>
    <phoneticPr fontId="3"/>
  </si>
  <si>
    <t>おから入りカップケーキ</t>
    <rPh sb="3" eb="4">
      <t>イ</t>
    </rPh>
    <phoneticPr fontId="3"/>
  </si>
  <si>
    <t>ご飯・ツイストマカロニ・バター・マヨネーズ・砂糖・油・パイ・せんべい</t>
    <phoneticPr fontId="3"/>
  </si>
  <si>
    <t>牛乳・玉子・鶏肉</t>
    <phoneticPr fontId="3"/>
  </si>
  <si>
    <t>パイ</t>
    <phoneticPr fontId="3"/>
  </si>
  <si>
    <t>せんべい</t>
    <phoneticPr fontId="3"/>
  </si>
  <si>
    <t>ごま油・ご飯・パン粉・砂糖・油・ウエハース・クラッカー</t>
    <phoneticPr fontId="3"/>
  </si>
  <si>
    <t>牛乳・玉子・鶏肉・豆腐</t>
    <phoneticPr fontId="3"/>
  </si>
  <si>
    <t>キャベツ・バナナ・もやし・玉ねぎ・人参・水菜・大根</t>
  </si>
  <si>
    <t>ウエハース</t>
    <phoneticPr fontId="3"/>
  </si>
  <si>
    <t>15
金</t>
    <rPh sb="3" eb="4">
      <t>キン</t>
    </rPh>
    <phoneticPr fontId="3"/>
  </si>
  <si>
    <t>花ちらし寿司</t>
    <phoneticPr fontId="3"/>
  </si>
  <si>
    <t>ご飯・バター・パン粉・砂糖・油・ホットケーキミックス・つぶあん</t>
    <phoneticPr fontId="3"/>
  </si>
  <si>
    <t>ツナフレーク缶・牛乳・玉子・鶏肉・豆乳</t>
    <rPh sb="17" eb="19">
      <t>トウニュウ</t>
    </rPh>
    <phoneticPr fontId="3"/>
  </si>
  <si>
    <t>キャベツ・きゅうり・コーン・トマト・柿・玉ねぎ・枝豆・人参・大根</t>
  </si>
  <si>
    <t>乳・卵・小麦_x000D_
※28</t>
    <phoneticPr fontId="3"/>
  </si>
  <si>
    <t>クラッカー</t>
    <phoneticPr fontId="3"/>
  </si>
  <si>
    <t>にっこりハンバーグ</t>
    <phoneticPr fontId="3"/>
  </si>
  <si>
    <t>小豆入りカップケーキ</t>
    <rPh sb="0" eb="2">
      <t>アズキ</t>
    </rPh>
    <rPh sb="2" eb="3">
      <t>イ</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</si>
  <si>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</si>
  <si>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&lt;七五三&gt;</t>
    <rPh sb="1" eb="4">
      <t>シチゴサン</t>
    </rPh>
    <phoneticPr fontId="3"/>
  </si>
  <si>
    <t>※調味料のアレルギー表示は弊社でお届けしたものに限ります。また、コンタミ等のアレルギーの詳細は「予定献立表」でご確認下さい。</t>
    <rPh sb="36" eb="37">
      <t>ナド</t>
    </rPh>
    <rPh sb="44" eb="46">
      <t>ショウサイ</t>
    </rPh>
    <rPh sb="48" eb="50">
      <t>ヨテイ</t>
    </rPh>
    <rPh sb="50" eb="52">
      <t>コンダテ</t>
    </rPh>
    <rPh sb="52" eb="53">
      <t>ヒョウ</t>
    </rPh>
    <rPh sb="56" eb="59">
      <t>カクニンクダ</t>
    </rPh>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</si>
  <si>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</si>
  <si>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</si>
  <si>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</si>
  <si>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※都合により、献立を変更する場合がございます。</t>
    <rPh sb="1" eb="3">
      <t>ツゴウ</t>
    </rPh>
    <rPh sb="7" eb="9">
      <t>コンダテ</t>
    </rPh>
    <rPh sb="10" eb="12">
      <t>ヘンコウ</t>
    </rPh>
    <rPh sb="14" eb="16">
      <t>バアイ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</si>
  <si>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</si>
  <si>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</si>
  <si>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</si>
  <si>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</si>
  <si>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</si>
  <si>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</si>
  <si>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※14　この商品は「そば・卵」を含む製品と同じ施設で製造しておりますが、混入を最小限に抑えるように十分に配慮して生産されております。</t>
  </si>
  <si>
    <t>3～5</t>
    <phoneticPr fontId="3"/>
  </si>
  <si>
    <t>歳</t>
    <rPh sb="0" eb="1">
      <t>サイ</t>
    </rPh>
    <phoneticPr fontId="3"/>
  </si>
  <si>
    <t>585/24.1/16.2/85.5/1.8未満</t>
    <rPh sb="22" eb="24">
      <t>ミマン</t>
    </rPh>
    <phoneticPr fontId="3"/>
  </si>
  <si>
    <t>※15　本製品に使用している原料魚は、えび・かにが混ざる漁法で採取しています。</t>
  </si>
  <si>
    <t>1～2</t>
    <phoneticPr fontId="3"/>
  </si>
  <si>
    <t>485/20.1/13.5/71.0/1.5未満</t>
    <rPh sb="22" eb="24">
      <t>ミマン</t>
    </rPh>
    <phoneticPr fontId="3"/>
  </si>
  <si>
    <t>※18　本製品で使用している海苔は、えび・かにの生息域で採取しています。</t>
  </si>
  <si>
    <t>※28　小麦を使用した設備で製造しています。</t>
  </si>
  <si>
    <t>※60　本工場では小麦・乳を使用しております。</t>
  </si>
  <si>
    <t>※78　本品製造工場では、大豆を含む製品を製造しております。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</si>
</sst>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 ?/2"/>
    <numFmt numFmtId="177" formatCode="#\ ?/4"/>
    <numFmt numFmtId="178" formatCode="#\ ?/8"/>
    <numFmt numFmtId="179" formatCode="#\ ?/10"/>
    <numFmt numFmtId="180" formatCode="#\ ?/6"/>
    <numFmt numFmtId="181" formatCode="#\ ?/3"/>
    <numFmt numFmtId="182" formatCode="0.0_ "/>
    <numFmt numFmtId="183" formatCode="0_ "/>
  </numFmts>
  <fonts count="28"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b/>
      <sz val="20"/>
      <name val="ＭＳ Ｐゴシック"/>
      <family val="3"/>
      <charset val="128"/>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9"/>
      <name val="ＭＳ Ｐ明朝"/>
      <family val="1"/>
      <charset val="128"/>
    </font>
  </fonts>
  <fills count="12">
    <fill>
      <patternFill patternType="none"/>
    </fill>
    <fill>
      <patternFill patternType="gray125"/>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00"/>
        <bgColor indexed="64"/>
      </patternFill>
    </fill>
    <fill>
      <patternFill patternType="solid">
        <fgColor rgb="FFFFDAA3"/>
        <bgColor indexed="64"/>
      </patternFill>
    </fill>
    <fill>
      <patternFill patternType="solid">
        <fgColor theme="0" tint="-0.34998626667073579"/>
        <bgColor indexed="64"/>
      </patternFill>
    </fill>
    <fill>
      <patternFill patternType="solid">
        <fgColor rgb="FFCCFFFF"/>
        <bgColor indexed="64"/>
      </patternFill>
    </fill>
    <fill>
      <patternFill patternType="solid">
        <fgColor rgb="FFC8FFB7"/>
        <bgColor indexed="64"/>
      </patternFill>
    </fill>
    <fill>
      <patternFill patternType="solid">
        <fgColor rgb="FFFFFFCC"/>
        <bgColor indexed="64"/>
      </patternFill>
    </fill>
  </fills>
  <borders count="39">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 fillId="0" borderId="0">
      <alignment vertical="center"/>
    </xf>
  </cellStyleXfs>
  <cellXfs count="226">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0" xfId="1" applyFont="1" applyBorder="1" applyAlignment="1">
      <alignment horizontal="center" vertical="center" shrinkToFit="1"/>
    </xf>
    <xf numFmtId="0" fontId="6" fillId="0" borderId="0" xfId="2" applyNumberFormat="1" applyFont="1" applyFill="1" applyAlignment="1">
      <alignment shrinkToFit="1"/>
    </xf>
    <xf numFmtId="0" fontId="8" fillId="0" borderId="0" xfId="1" applyFont="1" applyBorder="1" applyAlignment="1">
      <alignment horizontal="center" vertical="center" shrinkToFit="1"/>
    </xf>
    <xf numFmtId="0" fontId="1" fillId="0" borderId="0" xfId="1" applyAlignment="1">
      <alignment horizontal="center" shrinkToFit="1"/>
    </xf>
    <xf numFmtId="0" fontId="7" fillId="0" borderId="0" xfId="1" applyNumberFormat="1" applyFont="1" applyBorder="1" applyAlignment="1">
      <alignment horizontal="center" shrinkToFit="1"/>
    </xf>
    <xf numFmtId="0" fontId="5" fillId="0" borderId="0" xfId="1" applyFont="1" applyBorder="1" applyAlignment="1">
      <alignment horizontal="center" vertical="center"/>
    </xf>
    <xf numFmtId="0" fontId="5" fillId="0" borderId="0" xfId="1" applyNumberFormat="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1" fillId="0" borderId="5" xfId="1" applyNumberFormat="1" applyFont="1" applyBorder="1" applyAlignment="1">
      <alignment horizontal="center" vertical="center" wrapText="1"/>
    </xf>
    <xf numFmtId="0" fontId="10" fillId="0" borderId="5" xfId="1" applyFont="1" applyBorder="1" applyAlignment="1">
      <alignment horizontal="center" vertical="center" shrinkToFit="1"/>
    </xf>
    <xf numFmtId="0" fontId="10" fillId="0" borderId="5" xfId="1" applyNumberFormat="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xf>
    <xf numFmtId="0" fontId="12" fillId="0" borderId="5" xfId="1" applyNumberFormat="1" applyFont="1" applyBorder="1" applyAlignment="1">
      <alignment horizontal="center" vertical="center" wrapText="1" shrinkToFit="1"/>
    </xf>
    <xf numFmtId="0" fontId="10"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6" fillId="0" borderId="0" xfId="1" applyFont="1" applyAlignment="1">
      <alignment vertical="center" shrinkToFit="1"/>
    </xf>
    <xf numFmtId="0" fontId="14" fillId="0" borderId="0" xfId="1" applyFont="1" applyAlignment="1">
      <alignment vertical="top" shrinkToFit="1"/>
    </xf>
    <xf numFmtId="0" fontId="13" fillId="0" borderId="0" xfId="1" applyFont="1" applyAlignment="1">
      <alignment horizontal="left" vertical="center"/>
    </xf>
    <xf numFmtId="0" fontId="4" fillId="0" borderId="0" xfId="1" applyNumberFormat="1" applyFont="1" applyAlignment="1">
      <alignment horizontal="center" vertical="top" shrinkToFit="1"/>
    </xf>
    <xf numFmtId="0" fontId="13" fillId="0" borderId="0" xfId="1" applyFont="1" applyAlignment="1">
      <alignment horizontal="center" vertical="top" shrinkToFit="1"/>
    </xf>
    <xf numFmtId="0" fontId="13" fillId="0" borderId="0" xfId="1" applyFont="1" applyAlignment="1">
      <alignment vertical="top" shrinkToFit="1"/>
    </xf>
    <xf numFmtId="0" fontId="15" fillId="0" borderId="0" xfId="1" applyFont="1" applyAlignment="1">
      <alignment horizontal="center" vertical="top" shrinkToFit="1"/>
    </xf>
    <xf numFmtId="0" fontId="15" fillId="0" borderId="0" xfId="1" applyNumberFormat="1" applyFont="1" applyAlignment="1">
      <alignment horizontal="center" vertical="top" shrinkToFit="1"/>
    </xf>
    <xf numFmtId="0" fontId="10" fillId="0" borderId="5" xfId="1" applyNumberFormat="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4" fillId="0" borderId="8" xfId="1" applyFont="1" applyBorder="1" applyAlignment="1">
      <alignment vertical="top" shrinkToFit="1"/>
    </xf>
    <xf numFmtId="0" fontId="6" fillId="0" borderId="8" xfId="1" applyFont="1" applyBorder="1" applyAlignment="1">
      <alignment vertical="center" shrinkToFit="1"/>
    </xf>
    <xf numFmtId="0" fontId="4" fillId="0" borderId="8" xfId="1" applyNumberFormat="1" applyFont="1" applyBorder="1" applyAlignment="1">
      <alignment horizontal="center" vertical="top" shrinkToFit="1"/>
    </xf>
    <xf numFmtId="0" fontId="13" fillId="0" borderId="8" xfId="1" applyFont="1" applyBorder="1" applyAlignment="1">
      <alignment horizontal="center" vertical="top" shrinkToFit="1"/>
    </xf>
    <xf numFmtId="0" fontId="13" fillId="0" borderId="8" xfId="1" applyFont="1" applyBorder="1" applyAlignment="1">
      <alignment vertical="top" shrinkToFit="1"/>
    </xf>
    <xf numFmtId="0" fontId="15" fillId="0" borderId="8" xfId="1" applyNumberFormat="1" applyFont="1" applyBorder="1" applyAlignment="1">
      <alignment horizontal="center" vertical="top" shrinkToFit="1"/>
    </xf>
    <xf numFmtId="0" fontId="14" fillId="0" borderId="9" xfId="1" applyFont="1" applyBorder="1" applyAlignment="1">
      <alignment vertical="top" shrinkToFit="1"/>
    </xf>
    <xf numFmtId="0" fontId="6" fillId="0" borderId="9" xfId="1" applyFont="1" applyBorder="1" applyAlignment="1">
      <alignment vertical="center" shrinkToFit="1"/>
    </xf>
    <xf numFmtId="0" fontId="4" fillId="0" borderId="9" xfId="1" applyNumberFormat="1" applyFont="1" applyBorder="1" applyAlignment="1">
      <alignment horizontal="center" vertical="top" shrinkToFit="1"/>
    </xf>
    <xf numFmtId="0" fontId="13" fillId="0" borderId="9" xfId="1" applyFont="1" applyBorder="1" applyAlignment="1">
      <alignment horizontal="center" vertical="top" shrinkToFit="1"/>
    </xf>
    <xf numFmtId="0" fontId="13" fillId="0" borderId="9" xfId="1" applyFont="1" applyBorder="1" applyAlignment="1">
      <alignment vertical="top" shrinkToFit="1"/>
    </xf>
    <xf numFmtId="0" fontId="15" fillId="0" borderId="9" xfId="1" applyNumberFormat="1" applyFont="1" applyBorder="1" applyAlignment="1">
      <alignment horizontal="center" vertical="top" shrinkToFit="1"/>
    </xf>
    <xf numFmtId="179" fontId="4" fillId="0" borderId="9" xfId="1" applyNumberFormat="1" applyFont="1" applyBorder="1" applyAlignment="1">
      <alignment horizontal="center" vertical="top" shrinkToFit="1"/>
    </xf>
    <xf numFmtId="0" fontId="14" fillId="0" borderId="10" xfId="1" applyFont="1" applyBorder="1" applyAlignment="1">
      <alignment vertical="top" shrinkToFit="1"/>
    </xf>
    <xf numFmtId="0" fontId="6" fillId="0" borderId="10" xfId="1" applyFont="1" applyBorder="1" applyAlignment="1">
      <alignment vertical="center" shrinkToFit="1"/>
    </xf>
    <xf numFmtId="0" fontId="4" fillId="0" borderId="10" xfId="1" applyNumberFormat="1" applyFont="1" applyBorder="1" applyAlignment="1">
      <alignment horizontal="center" vertical="top" shrinkToFit="1"/>
    </xf>
    <xf numFmtId="0" fontId="13" fillId="0" borderId="10" xfId="1" applyFont="1" applyBorder="1" applyAlignment="1">
      <alignment horizontal="center" vertical="top" shrinkToFit="1"/>
    </xf>
    <xf numFmtId="0" fontId="13" fillId="0" borderId="10" xfId="1" applyFont="1" applyBorder="1" applyAlignment="1">
      <alignment vertical="top" shrinkToFit="1"/>
    </xf>
    <xf numFmtId="0" fontId="15" fillId="0" borderId="10" xfId="1" applyNumberFormat="1" applyFont="1" applyBorder="1" applyAlignment="1">
      <alignment horizontal="center" vertical="top" shrinkToFit="1"/>
    </xf>
    <xf numFmtId="178" fontId="4" fillId="0" borderId="9" xfId="1" applyNumberFormat="1" applyFont="1" applyBorder="1" applyAlignment="1">
      <alignment horizontal="center" vertical="top" shrinkToFit="1"/>
    </xf>
    <xf numFmtId="180" fontId="4" fillId="0" borderId="9" xfId="1" applyNumberFormat="1" applyFont="1" applyBorder="1" applyAlignment="1">
      <alignment horizontal="center" vertical="top" shrinkToFit="1"/>
    </xf>
    <xf numFmtId="0" fontId="14" fillId="0" borderId="11" xfId="1" applyFont="1" applyBorder="1" applyAlignment="1">
      <alignment vertical="top" shrinkToFit="1"/>
    </xf>
    <xf numFmtId="0" fontId="6" fillId="0" borderId="11" xfId="1" applyFont="1" applyBorder="1" applyAlignment="1">
      <alignment vertical="center" shrinkToFit="1"/>
    </xf>
    <xf numFmtId="0" fontId="4" fillId="0" borderId="11" xfId="1" applyNumberFormat="1" applyFont="1" applyBorder="1" applyAlignment="1">
      <alignment horizontal="center" vertical="top" shrinkToFit="1"/>
    </xf>
    <xf numFmtId="0" fontId="13" fillId="0" borderId="11" xfId="1" applyFont="1" applyBorder="1" applyAlignment="1">
      <alignment horizontal="center" vertical="top" shrinkToFit="1"/>
    </xf>
    <xf numFmtId="0" fontId="13" fillId="0" borderId="11" xfId="1" applyFont="1" applyBorder="1" applyAlignment="1">
      <alignment vertical="top" shrinkToFit="1"/>
    </xf>
    <xf numFmtId="0" fontId="15" fillId="0" borderId="11" xfId="1" applyNumberFormat="1" applyFont="1" applyBorder="1" applyAlignment="1">
      <alignment horizontal="center" vertical="top" shrinkToFit="1"/>
    </xf>
    <xf numFmtId="176" fontId="4" fillId="0" borderId="9" xfId="1" applyNumberFormat="1" applyFont="1" applyBorder="1" applyAlignment="1">
      <alignment horizontal="center" vertical="top" shrinkToFit="1"/>
    </xf>
    <xf numFmtId="0" fontId="14" fillId="0" borderId="16" xfId="1" applyFont="1" applyBorder="1" applyAlignment="1">
      <alignment vertical="top" shrinkToFit="1"/>
    </xf>
    <xf numFmtId="0" fontId="14" fillId="0" borderId="1" xfId="1" applyFont="1" applyBorder="1" applyAlignment="1">
      <alignment vertical="top" shrinkToFit="1"/>
    </xf>
    <xf numFmtId="0" fontId="14" fillId="0" borderId="17" xfId="1" applyFont="1" applyBorder="1" applyAlignment="1">
      <alignment vertical="top" shrinkToFit="1"/>
    </xf>
    <xf numFmtId="0" fontId="14" fillId="0" borderId="18" xfId="1" applyFont="1" applyBorder="1" applyAlignment="1">
      <alignment vertical="top" shrinkToFit="1"/>
    </xf>
    <xf numFmtId="0" fontId="13" fillId="0" borderId="19" xfId="1" applyFont="1" applyBorder="1" applyAlignment="1">
      <alignment horizontal="center" vertical="top" shrinkToFit="1"/>
    </xf>
    <xf numFmtId="0" fontId="13" fillId="0" borderId="20" xfId="1" applyFont="1" applyBorder="1" applyAlignment="1">
      <alignment horizontal="center" vertical="top" shrinkToFit="1"/>
    </xf>
    <xf numFmtId="0" fontId="13" fillId="0" borderId="21" xfId="1" applyFont="1" applyBorder="1" applyAlignment="1">
      <alignment horizontal="center" vertical="top" shrinkToFit="1"/>
    </xf>
    <xf numFmtId="0" fontId="13" fillId="0" borderId="22" xfId="1" applyFont="1" applyBorder="1" applyAlignment="1">
      <alignment horizontal="center" vertical="top" shrinkToFit="1"/>
    </xf>
    <xf numFmtId="0" fontId="13" fillId="0" borderId="23" xfId="1" applyFont="1" applyBorder="1" applyAlignment="1">
      <alignment vertical="top" shrinkToFit="1"/>
    </xf>
    <xf numFmtId="0" fontId="13" fillId="0" borderId="24" xfId="1" applyFont="1" applyBorder="1" applyAlignment="1">
      <alignment vertical="top" shrinkToFit="1"/>
    </xf>
    <xf numFmtId="0" fontId="13" fillId="0" borderId="25" xfId="1" applyFont="1" applyBorder="1" applyAlignment="1">
      <alignment vertical="top" shrinkToFit="1"/>
    </xf>
    <xf numFmtId="0" fontId="13" fillId="0" borderId="26" xfId="1" applyFont="1" applyBorder="1" applyAlignment="1">
      <alignment vertical="top" shrinkToFit="1"/>
    </xf>
    <xf numFmtId="0" fontId="15" fillId="0" borderId="12" xfId="1" applyFont="1" applyBorder="1" applyAlignment="1">
      <alignment horizontal="center" vertical="top" shrinkToFit="1"/>
    </xf>
    <xf numFmtId="0" fontId="15" fillId="0" borderId="13" xfId="1" applyFont="1" applyBorder="1" applyAlignment="1">
      <alignment horizontal="center" vertical="top" shrinkToFit="1"/>
    </xf>
    <xf numFmtId="0" fontId="15" fillId="0" borderId="14" xfId="1" applyFont="1" applyBorder="1" applyAlignment="1">
      <alignment horizontal="center" vertical="top" shrinkToFit="1"/>
    </xf>
    <xf numFmtId="0" fontId="15" fillId="0" borderId="15" xfId="1" applyFont="1" applyBorder="1" applyAlignment="1">
      <alignment horizontal="center" vertical="top" shrinkToFit="1"/>
    </xf>
    <xf numFmtId="176" fontId="4" fillId="0" borderId="8" xfId="1" applyNumberFormat="1" applyFont="1" applyBorder="1" applyAlignment="1">
      <alignment horizontal="center" vertical="top" shrinkToFit="1"/>
    </xf>
    <xf numFmtId="177" fontId="4" fillId="0" borderId="9" xfId="1" applyNumberFormat="1" applyFont="1" applyBorder="1" applyAlignment="1">
      <alignment horizontal="center" vertical="top" shrinkToFit="1"/>
    </xf>
    <xf numFmtId="181" fontId="4" fillId="0" borderId="9" xfId="1" applyNumberFormat="1" applyFont="1" applyBorder="1" applyAlignment="1">
      <alignment horizontal="center" vertical="top" shrinkToFit="1"/>
    </xf>
    <xf numFmtId="0" fontId="4" fillId="0" borderId="12" xfId="1" applyNumberFormat="1" applyFont="1" applyBorder="1" applyAlignment="1">
      <alignment horizontal="center" vertical="top" shrinkToFit="1"/>
    </xf>
    <xf numFmtId="0" fontId="4" fillId="0" borderId="14" xfId="1" applyNumberFormat="1" applyFont="1" applyBorder="1" applyAlignment="1">
      <alignment horizontal="center" vertical="top" shrinkToFit="1"/>
    </xf>
    <xf numFmtId="0" fontId="4" fillId="0" borderId="13" xfId="1" applyNumberFormat="1" applyFont="1" applyBorder="1" applyAlignment="1">
      <alignment horizontal="center" vertical="top" shrinkToFit="1"/>
    </xf>
    <xf numFmtId="0" fontId="4" fillId="0" borderId="15" xfId="1" applyNumberFormat="1" applyFont="1" applyBorder="1" applyAlignment="1">
      <alignment horizontal="center" vertical="top" shrinkToFit="1"/>
    </xf>
    <xf numFmtId="0" fontId="14" fillId="0" borderId="16" xfId="1" applyFont="1" applyBorder="1" applyAlignment="1">
      <alignment vertical="top" wrapText="1" shrinkToFit="1"/>
    </xf>
    <xf numFmtId="0" fontId="13" fillId="0" borderId="23" xfId="1" applyFont="1" applyBorder="1" applyAlignment="1">
      <alignment vertical="top" wrapText="1" shrinkToFit="1"/>
    </xf>
    <xf numFmtId="0" fontId="18" fillId="0" borderId="0" xfId="1" applyFont="1" applyFill="1" applyAlignment="1">
      <alignment horizontal="center" vertical="center"/>
    </xf>
    <xf numFmtId="0" fontId="18" fillId="0" borderId="0" xfId="1" applyFont="1" applyFill="1">
      <alignment vertical="center"/>
    </xf>
    <xf numFmtId="182" fontId="18" fillId="0" borderId="0" xfId="1" applyNumberFormat="1" applyFont="1" applyFill="1">
      <alignment vertical="center"/>
    </xf>
    <xf numFmtId="0" fontId="18" fillId="0" borderId="30" xfId="1" applyFont="1" applyFill="1" applyBorder="1" applyAlignment="1">
      <alignment vertical="center"/>
    </xf>
    <xf numFmtId="0" fontId="18" fillId="0" borderId="0" xfId="1" applyFont="1" applyFill="1" applyBorder="1" applyAlignment="1">
      <alignment horizontal="center" vertical="center" shrinkToFit="1"/>
    </xf>
    <xf numFmtId="0" fontId="26" fillId="0" borderId="34" xfId="1" applyFont="1" applyFill="1" applyBorder="1">
      <alignment vertical="center"/>
    </xf>
    <xf numFmtId="183" fontId="26" fillId="0" borderId="34" xfId="1" applyNumberFormat="1" applyFont="1" applyFill="1" applyBorder="1" applyAlignment="1">
      <alignment horizontal="right" vertical="center"/>
    </xf>
    <xf numFmtId="0" fontId="26" fillId="0" borderId="34" xfId="1" applyFont="1" applyFill="1" applyBorder="1" applyAlignment="1">
      <alignment horizontal="left" vertical="center"/>
    </xf>
    <xf numFmtId="0" fontId="26" fillId="0" borderId="34" xfId="1" applyFont="1" applyFill="1" applyBorder="1" applyAlignment="1">
      <alignment horizontal="left" vertical="top" shrinkToFit="1"/>
    </xf>
    <xf numFmtId="0" fontId="18" fillId="0" borderId="0" xfId="1" applyFont="1" applyFill="1" applyBorder="1" applyAlignment="1">
      <alignment horizontal="left" vertical="center"/>
    </xf>
    <xf numFmtId="183" fontId="26" fillId="0" borderId="34" xfId="1" applyNumberFormat="1" applyFont="1" applyFill="1" applyBorder="1">
      <alignment vertical="center"/>
    </xf>
    <xf numFmtId="0" fontId="26" fillId="2" borderId="9" xfId="1" applyFont="1" applyFill="1" applyBorder="1">
      <alignment vertical="center"/>
    </xf>
    <xf numFmtId="182" fontId="26" fillId="0" borderId="9" xfId="1" applyNumberFormat="1" applyFont="1" applyFill="1" applyBorder="1">
      <alignment vertical="center"/>
    </xf>
    <xf numFmtId="0" fontId="26" fillId="0" borderId="9" xfId="1" applyFont="1" applyFill="1" applyBorder="1" applyAlignment="1">
      <alignment vertical="center"/>
    </xf>
    <xf numFmtId="0" fontId="26" fillId="0" borderId="9" xfId="1" applyFont="1" applyFill="1" applyBorder="1" applyAlignment="1">
      <alignment horizontal="left" vertical="top" shrinkToFit="1"/>
    </xf>
    <xf numFmtId="0" fontId="18" fillId="0" borderId="0" xfId="1" applyFont="1" applyFill="1" applyBorder="1" applyAlignment="1">
      <alignment vertical="center"/>
    </xf>
    <xf numFmtId="0" fontId="26" fillId="7" borderId="9" xfId="1" applyFont="1" applyFill="1" applyBorder="1">
      <alignment vertical="center"/>
    </xf>
    <xf numFmtId="0" fontId="26" fillId="0" borderId="9" xfId="1" applyFont="1" applyFill="1" applyBorder="1">
      <alignment vertical="center"/>
    </xf>
    <xf numFmtId="0" fontId="26" fillId="0" borderId="10" xfId="1" applyFont="1" applyFill="1" applyBorder="1">
      <alignment vertical="center"/>
    </xf>
    <xf numFmtId="182" fontId="26" fillId="0" borderId="10" xfId="1" applyNumberFormat="1" applyFont="1" applyFill="1" applyBorder="1">
      <alignment vertical="center"/>
    </xf>
    <xf numFmtId="0" fontId="26" fillId="0" borderId="10" xfId="1" applyFont="1" applyFill="1" applyBorder="1" applyAlignment="1">
      <alignment vertical="center"/>
    </xf>
    <xf numFmtId="0" fontId="26" fillId="0" borderId="10" xfId="1" applyFont="1" applyFill="1" applyBorder="1" applyAlignment="1">
      <alignment horizontal="left" vertical="top" shrinkToFit="1"/>
    </xf>
    <xf numFmtId="0" fontId="26" fillId="8" borderId="35" xfId="1" applyFont="1" applyFill="1" applyBorder="1" applyAlignment="1">
      <alignment horizontal="center" vertical="center"/>
    </xf>
    <xf numFmtId="0" fontId="26" fillId="8" borderId="36" xfId="1" applyFont="1" applyFill="1" applyBorder="1" applyAlignment="1">
      <alignment horizontal="center" vertical="center"/>
    </xf>
    <xf numFmtId="0" fontId="26" fillId="8" borderId="36" xfId="1" applyFont="1" applyFill="1" applyBorder="1">
      <alignment vertical="center"/>
    </xf>
    <xf numFmtId="0" fontId="27" fillId="8" borderId="36" xfId="1" applyFont="1" applyFill="1" applyBorder="1" applyAlignment="1">
      <alignment horizontal="left" vertical="top" wrapText="1"/>
    </xf>
    <xf numFmtId="182" fontId="26" fillId="8" borderId="36" xfId="1" applyNumberFormat="1" applyFont="1" applyFill="1" applyBorder="1">
      <alignment vertical="center"/>
    </xf>
    <xf numFmtId="0" fontId="26" fillId="8" borderId="36" xfId="3" applyFont="1" applyFill="1" applyBorder="1" applyAlignment="1">
      <alignment horizontal="left" vertical="top" wrapText="1"/>
    </xf>
    <xf numFmtId="0" fontId="26" fillId="8" borderId="37" xfId="1" applyFont="1" applyFill="1" applyBorder="1" applyAlignment="1">
      <alignment horizontal="left" vertical="top" shrinkToFit="1"/>
    </xf>
    <xf numFmtId="0" fontId="18" fillId="0" borderId="0" xfId="1" applyFont="1" applyFill="1" applyBorder="1">
      <alignment vertical="center"/>
    </xf>
    <xf numFmtId="0" fontId="26" fillId="2" borderId="34" xfId="1" applyFont="1" applyFill="1" applyBorder="1">
      <alignment vertical="center"/>
    </xf>
    <xf numFmtId="0" fontId="26" fillId="8" borderId="21" xfId="1" applyFont="1" applyFill="1" applyBorder="1" applyAlignment="1">
      <alignment horizontal="center" vertical="center"/>
    </xf>
    <xf numFmtId="0" fontId="26" fillId="8" borderId="38" xfId="1" applyFont="1" applyFill="1" applyBorder="1" applyAlignment="1">
      <alignment horizontal="center" vertical="center"/>
    </xf>
    <xf numFmtId="0" fontId="26" fillId="8" borderId="38" xfId="1" applyFont="1" applyFill="1" applyBorder="1">
      <alignment vertical="center"/>
    </xf>
    <xf numFmtId="0" fontId="27" fillId="8" borderId="38" xfId="1" applyFont="1" applyFill="1" applyBorder="1" applyAlignment="1">
      <alignment horizontal="left" vertical="top" wrapText="1"/>
    </xf>
    <xf numFmtId="182" fontId="26" fillId="8" borderId="38" xfId="1" applyNumberFormat="1" applyFont="1" applyFill="1" applyBorder="1">
      <alignment vertical="center"/>
    </xf>
    <xf numFmtId="0" fontId="26" fillId="8" borderId="38" xfId="3" applyFont="1" applyFill="1" applyBorder="1" applyAlignment="1">
      <alignment horizontal="left" vertical="top" wrapText="1"/>
    </xf>
    <xf numFmtId="0" fontId="26" fillId="8" borderId="17" xfId="1" applyFont="1" applyFill="1" applyBorder="1" applyAlignment="1">
      <alignment horizontal="left" vertical="top" shrinkToFit="1"/>
    </xf>
    <xf numFmtId="0" fontId="26" fillId="9" borderId="9" xfId="1" applyFont="1" applyFill="1" applyBorder="1">
      <alignment vertical="center"/>
    </xf>
    <xf numFmtId="0" fontId="26" fillId="10" borderId="34" xfId="1" applyFont="1" applyFill="1" applyBorder="1">
      <alignment vertical="center"/>
    </xf>
    <xf numFmtId="0" fontId="26" fillId="0" borderId="34" xfId="1" applyFont="1" applyFill="1" applyBorder="1" applyAlignment="1">
      <alignment vertical="center" shrinkToFit="1"/>
    </xf>
    <xf numFmtId="0" fontId="26" fillId="10" borderId="9" xfId="1" applyFont="1" applyFill="1" applyBorder="1">
      <alignment vertical="center"/>
    </xf>
    <xf numFmtId="0" fontId="23" fillId="11" borderId="34" xfId="1" applyFont="1" applyFill="1" applyBorder="1" applyAlignment="1">
      <alignment horizontal="left" vertical="center"/>
    </xf>
    <xf numFmtId="0" fontId="26" fillId="0" borderId="0" xfId="3" applyFont="1" applyFill="1" applyBorder="1" applyAlignment="1">
      <alignment vertical="center"/>
    </xf>
    <xf numFmtId="0" fontId="26" fillId="0" borderId="0" xfId="1" applyFont="1" applyFill="1" applyBorder="1" applyAlignment="1">
      <alignment vertical="center"/>
    </xf>
    <xf numFmtId="0" fontId="26" fillId="0" borderId="0" xfId="1" applyFont="1" applyFill="1" applyBorder="1">
      <alignment vertical="center"/>
    </xf>
    <xf numFmtId="0" fontId="27" fillId="0" borderId="0" xfId="1" applyFont="1" applyFill="1" applyBorder="1" applyAlignment="1">
      <alignment vertical="top" wrapText="1"/>
    </xf>
    <xf numFmtId="182" fontId="26" fillId="0" borderId="0" xfId="1" applyNumberFormat="1" applyFont="1" applyFill="1" applyBorder="1">
      <alignment vertical="center"/>
    </xf>
    <xf numFmtId="0" fontId="26" fillId="0" borderId="0" xfId="3" applyFont="1" applyFill="1" applyBorder="1" applyAlignment="1">
      <alignment vertical="top" wrapText="1"/>
    </xf>
    <xf numFmtId="0" fontId="26" fillId="0" borderId="0" xfId="1" applyFont="1" applyFill="1" applyBorder="1" applyAlignment="1">
      <alignment horizontal="left" vertical="top" shrinkToFit="1"/>
    </xf>
    <xf numFmtId="0" fontId="26" fillId="0" borderId="30" xfId="1" applyFont="1" applyFill="1" applyBorder="1" applyAlignment="1">
      <alignment horizontal="center" vertical="center" shrinkToFit="1"/>
    </xf>
    <xf numFmtId="0" fontId="26" fillId="0" borderId="0" xfId="1" applyFont="1" applyFill="1" applyBorder="1" applyAlignment="1">
      <alignment horizontal="left" vertical="center"/>
    </xf>
    <xf numFmtId="0" fontId="26" fillId="0" borderId="10" xfId="1" applyFont="1" applyFill="1" applyBorder="1" applyAlignment="1">
      <alignment horizontal="center" vertical="center"/>
    </xf>
    <xf numFmtId="0" fontId="26" fillId="0" borderId="30" xfId="1" applyFont="1" applyFill="1" applyBorder="1" applyAlignment="1">
      <alignment horizontal="center" vertical="center"/>
    </xf>
    <xf numFmtId="0" fontId="26" fillId="0" borderId="31" xfId="1" applyFont="1" applyFill="1" applyBorder="1" applyAlignment="1">
      <alignment horizontal="center" vertical="center"/>
    </xf>
    <xf numFmtId="0" fontId="26" fillId="0" borderId="33" xfId="1" applyFont="1" applyFill="1" applyBorder="1">
      <alignment vertical="center"/>
    </xf>
    <xf numFmtId="183" fontId="26" fillId="0" borderId="30" xfId="1" applyNumberFormat="1" applyFont="1" applyFill="1" applyBorder="1" applyAlignment="1">
      <alignment horizontal="center" vertical="center"/>
    </xf>
    <xf numFmtId="182" fontId="26" fillId="0" borderId="30" xfId="1" applyNumberFormat="1" applyFont="1" applyFill="1" applyBorder="1" applyAlignment="1">
      <alignment horizontal="center" vertical="center"/>
    </xf>
    <xf numFmtId="182" fontId="18" fillId="0" borderId="30" xfId="1" applyNumberFormat="1" applyFont="1" applyFill="1" applyBorder="1" applyAlignment="1">
      <alignment vertical="center"/>
    </xf>
    <xf numFmtId="0" fontId="18" fillId="0" borderId="36" xfId="1" applyFont="1" applyFill="1" applyBorder="1" applyAlignment="1">
      <alignment horizontal="center" vertical="center"/>
    </xf>
    <xf numFmtId="0" fontId="18" fillId="0" borderId="36" xfId="1" applyFont="1" applyFill="1" applyBorder="1">
      <alignment vertical="center"/>
    </xf>
    <xf numFmtId="0" fontId="18" fillId="0" borderId="36" xfId="1" applyFont="1" applyFill="1" applyBorder="1" applyAlignment="1">
      <alignment horizontal="center" vertical="center" shrinkToFit="1"/>
    </xf>
    <xf numFmtId="183" fontId="18" fillId="0" borderId="36" xfId="1" applyNumberFormat="1" applyFont="1" applyFill="1" applyBorder="1" applyAlignment="1">
      <alignment horizontal="center" vertical="center"/>
    </xf>
    <xf numFmtId="182" fontId="18" fillId="0" borderId="36" xfId="1" applyNumberFormat="1" applyFont="1" applyFill="1" applyBorder="1" applyAlignment="1">
      <alignment horizontal="center" vertical="center"/>
    </xf>
    <xf numFmtId="182" fontId="18" fillId="0" borderId="0" xfId="1" applyNumberFormat="1" applyFont="1" applyFill="1" applyBorder="1">
      <alignment vertical="center"/>
    </xf>
    <xf numFmtId="0" fontId="26" fillId="0" borderId="0" xfId="1" applyFont="1" applyFill="1" applyBorder="1" applyAlignment="1">
      <alignment horizontal="left" vertical="center" wrapText="1"/>
    </xf>
    <xf numFmtId="0" fontId="18" fillId="0" borderId="0" xfId="1" applyFont="1" applyFill="1" applyAlignment="1">
      <alignment horizontal="left" vertical="center"/>
    </xf>
    <xf numFmtId="0" fontId="26" fillId="0" borderId="0" xfId="1" applyFont="1" applyFill="1" applyBorder="1" applyAlignment="1">
      <alignment horizontal="center" vertical="center"/>
    </xf>
    <xf numFmtId="0" fontId="26" fillId="0" borderId="0" xfId="1" applyFont="1" applyFill="1" applyBorder="1" applyAlignment="1">
      <alignment horizontal="left" vertical="top"/>
    </xf>
    <xf numFmtId="0" fontId="18" fillId="0" borderId="0" xfId="1" applyFont="1" applyFill="1" applyBorder="1" applyAlignment="1">
      <alignment vertical="center" wrapText="1"/>
    </xf>
    <xf numFmtId="0" fontId="18" fillId="0" borderId="0" xfId="1" applyFont="1" applyFill="1" applyBorder="1" applyAlignment="1">
      <alignment vertical="top" wrapText="1"/>
    </xf>
    <xf numFmtId="0" fontId="18" fillId="0" borderId="0" xfId="1" applyFont="1" applyFill="1" applyBorder="1" applyAlignment="1">
      <alignment horizontal="left" vertical="top" wrapText="1"/>
    </xf>
    <xf numFmtId="0" fontId="20" fillId="2" borderId="30" xfId="1" applyFont="1" applyFill="1" applyBorder="1" applyAlignment="1">
      <alignment horizontal="center" vertical="center" textRotation="255" shrinkToFit="1"/>
    </xf>
    <xf numFmtId="0" fontId="18" fillId="3" borderId="34" xfId="1" applyFont="1" applyFill="1" applyBorder="1" applyAlignment="1">
      <alignment horizontal="center" wrapText="1" shrinkToFit="1"/>
    </xf>
    <xf numFmtId="0" fontId="18" fillId="3" borderId="9" xfId="1" applyFont="1" applyFill="1" applyBorder="1" applyAlignment="1">
      <alignment horizontal="center" wrapText="1" shrinkToFit="1"/>
    </xf>
    <xf numFmtId="0" fontId="18" fillId="3" borderId="10" xfId="1" applyFont="1" applyFill="1" applyBorder="1" applyAlignment="1">
      <alignment horizontal="center" wrapText="1" shrinkToFit="1"/>
    </xf>
    <xf numFmtId="0" fontId="18" fillId="4" borderId="34" xfId="1" applyFont="1" applyFill="1" applyBorder="1" applyAlignment="1">
      <alignment horizontal="center" wrapText="1" shrinkToFit="1"/>
    </xf>
    <xf numFmtId="0" fontId="18" fillId="4" borderId="9" xfId="1" applyFont="1" applyFill="1" applyBorder="1" applyAlignment="1">
      <alignment horizontal="center" wrapText="1" shrinkToFit="1"/>
    </xf>
    <xf numFmtId="0" fontId="18" fillId="4" borderId="10" xfId="1" applyFont="1" applyFill="1" applyBorder="1" applyAlignment="1">
      <alignment horizontal="center" wrapText="1" shrinkToFit="1"/>
    </xf>
    <xf numFmtId="0" fontId="18" fillId="5" borderId="34" xfId="1" applyFont="1" applyFill="1" applyBorder="1" applyAlignment="1">
      <alignment horizontal="center" wrapText="1" shrinkToFit="1"/>
    </xf>
    <xf numFmtId="0" fontId="18" fillId="5" borderId="9" xfId="1" applyFont="1" applyFill="1" applyBorder="1" applyAlignment="1">
      <alignment horizontal="center" wrapText="1" shrinkToFit="1"/>
    </xf>
    <xf numFmtId="0" fontId="18" fillId="5" borderId="10" xfId="1" applyFont="1" applyFill="1" applyBorder="1" applyAlignment="1">
      <alignment horizontal="center" wrapText="1" shrinkToFit="1"/>
    </xf>
    <xf numFmtId="0" fontId="24" fillId="0" borderId="20"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4" fillId="0" borderId="21" xfId="1" applyFont="1" applyFill="1" applyBorder="1" applyAlignment="1">
      <alignment horizontal="center" vertical="center" wrapText="1"/>
    </xf>
    <xf numFmtId="0" fontId="24" fillId="0" borderId="17" xfId="1" applyFont="1" applyFill="1" applyBorder="1" applyAlignment="1">
      <alignment horizontal="center" vertical="center" wrapText="1"/>
    </xf>
    <xf numFmtId="0" fontId="18" fillId="0" borderId="9" xfId="3" applyFont="1" applyBorder="1" applyAlignment="1">
      <alignment horizontal="center" wrapText="1" shrinkToFit="1"/>
    </xf>
    <xf numFmtId="0" fontId="18" fillId="0" borderId="10" xfId="3" applyFont="1" applyBorder="1" applyAlignment="1">
      <alignment horizontal="center" wrapText="1" shrinkToFit="1"/>
    </xf>
    <xf numFmtId="0" fontId="18" fillId="0" borderId="34" xfId="1" applyFont="1" applyFill="1" applyBorder="1" applyAlignment="1">
      <alignment horizontal="center" vertical="center" shrinkToFit="1"/>
    </xf>
    <xf numFmtId="0" fontId="18" fillId="0" borderId="9" xfId="1" applyFont="1" applyFill="1" applyBorder="1" applyAlignment="1">
      <alignment horizontal="center" vertical="center" shrinkToFit="1"/>
    </xf>
    <xf numFmtId="0" fontId="18" fillId="0" borderId="10" xfId="1" applyFont="1" applyFill="1" applyBorder="1" applyAlignment="1">
      <alignment horizontal="center" vertical="center" shrinkToFit="1"/>
    </xf>
    <xf numFmtId="0" fontId="21" fillId="0" borderId="30" xfId="1" applyFont="1" applyFill="1" applyBorder="1" applyAlignment="1">
      <alignment horizontal="center" vertical="center" textRotation="255"/>
    </xf>
    <xf numFmtId="0" fontId="22" fillId="0" borderId="30" xfId="1" applyFont="1" applyFill="1" applyBorder="1" applyAlignment="1">
      <alignment horizontal="left" vertical="center"/>
    </xf>
    <xf numFmtId="0" fontId="18" fillId="0" borderId="31" xfId="1" applyFont="1" applyFill="1" applyBorder="1" applyAlignment="1">
      <alignment horizontal="center" vertical="center"/>
    </xf>
    <xf numFmtId="0" fontId="18" fillId="0" borderId="32" xfId="1" applyFont="1" applyFill="1" applyBorder="1" applyAlignment="1">
      <alignment horizontal="center" vertical="center"/>
    </xf>
    <xf numFmtId="0" fontId="18" fillId="0" borderId="33" xfId="1" applyFont="1" applyFill="1" applyBorder="1" applyAlignment="1">
      <alignment horizontal="center" vertical="center"/>
    </xf>
    <xf numFmtId="0" fontId="23" fillId="0" borderId="31" xfId="1" applyFont="1" applyFill="1" applyBorder="1" applyAlignment="1">
      <alignment horizontal="center" vertical="center" wrapText="1"/>
    </xf>
    <xf numFmtId="0" fontId="23" fillId="0" borderId="32" xfId="1" applyFont="1" applyFill="1" applyBorder="1" applyAlignment="1">
      <alignment horizontal="center" vertical="center" wrapText="1"/>
    </xf>
    <xf numFmtId="0" fontId="23" fillId="0" borderId="33" xfId="1" applyFont="1" applyFill="1" applyBorder="1" applyAlignment="1">
      <alignment horizontal="center" vertical="center" wrapText="1"/>
    </xf>
    <xf numFmtId="0" fontId="18" fillId="3" borderId="30" xfId="1" applyFont="1" applyFill="1" applyBorder="1" applyAlignment="1">
      <alignment horizontal="center" wrapText="1" shrinkToFit="1"/>
    </xf>
    <xf numFmtId="0" fontId="18" fillId="4" borderId="30" xfId="1" applyFont="1" applyFill="1" applyBorder="1" applyAlignment="1">
      <alignment horizontal="center" wrapText="1" shrinkToFit="1"/>
    </xf>
    <xf numFmtId="0" fontId="18" fillId="5" borderId="30" xfId="1" applyFont="1" applyFill="1" applyBorder="1" applyAlignment="1">
      <alignment horizontal="center" wrapText="1" shrinkToFit="1"/>
    </xf>
    <xf numFmtId="0" fontId="18" fillId="0" borderId="30" xfId="1" applyFont="1" applyFill="1" applyBorder="1" applyAlignment="1">
      <alignment horizontal="center" vertical="center"/>
    </xf>
    <xf numFmtId="0" fontId="26" fillId="0" borderId="30" xfId="1" applyFont="1" applyFill="1" applyBorder="1" applyAlignment="1">
      <alignment horizontal="center" vertical="center" wrapText="1"/>
    </xf>
    <xf numFmtId="0" fontId="26" fillId="0" borderId="30" xfId="1" applyFont="1" applyFill="1" applyBorder="1" applyAlignment="1">
      <alignment vertical="center" wrapText="1"/>
    </xf>
    <xf numFmtId="0" fontId="26" fillId="0" borderId="30" xfId="1" applyFont="1" applyFill="1" applyBorder="1" applyAlignment="1">
      <alignment horizontal="center" vertical="center" textRotation="255" shrinkToFit="1"/>
    </xf>
    <xf numFmtId="0" fontId="27" fillId="0" borderId="30" xfId="1" applyFont="1" applyFill="1" applyBorder="1" applyAlignment="1">
      <alignment horizontal="left" vertical="top" wrapText="1"/>
    </xf>
    <xf numFmtId="0" fontId="26" fillId="0" borderId="34" xfId="3" applyFont="1" applyFill="1" applyBorder="1" applyAlignment="1">
      <alignment horizontal="left" vertical="top" wrapText="1"/>
    </xf>
    <xf numFmtId="0" fontId="26" fillId="0" borderId="9" xfId="3" applyFont="1" applyFill="1" applyBorder="1" applyAlignment="1">
      <alignment horizontal="left" vertical="top" wrapText="1"/>
    </xf>
    <xf numFmtId="0" fontId="26" fillId="0" borderId="10" xfId="3" applyFont="1" applyFill="1" applyBorder="1" applyAlignment="1">
      <alignment horizontal="left" vertical="top" wrapText="1"/>
    </xf>
    <xf numFmtId="0" fontId="26" fillId="6" borderId="30" xfId="1" applyFont="1" applyFill="1" applyBorder="1" applyAlignment="1">
      <alignment horizontal="center" vertical="center" wrapText="1"/>
    </xf>
    <xf numFmtId="0" fontId="26" fillId="6" borderId="30" xfId="1" applyFont="1" applyFill="1" applyBorder="1" applyAlignment="1">
      <alignment vertical="center"/>
    </xf>
    <xf numFmtId="0" fontId="26" fillId="6" borderId="30" xfId="1" applyFont="1" applyFill="1" applyBorder="1" applyAlignment="1">
      <alignment horizontal="center" vertical="center" textRotation="255" shrinkToFit="1"/>
    </xf>
    <xf numFmtId="0" fontId="27" fillId="0" borderId="34" xfId="1" applyFont="1" applyFill="1" applyBorder="1" applyAlignment="1">
      <alignment horizontal="left" vertical="top" wrapText="1"/>
    </xf>
    <xf numFmtId="0" fontId="27" fillId="0" borderId="9" xfId="1" applyFont="1" applyFill="1" applyBorder="1" applyAlignment="1">
      <alignment horizontal="left" vertical="top" wrapText="1"/>
    </xf>
    <xf numFmtId="0" fontId="27" fillId="0" borderId="10" xfId="1" applyFont="1" applyFill="1" applyBorder="1" applyAlignment="1">
      <alignment horizontal="left" vertical="top" wrapText="1"/>
    </xf>
    <xf numFmtId="0" fontId="26" fillId="0" borderId="30" xfId="1" applyFont="1" applyFill="1" applyBorder="1" applyAlignment="1">
      <alignment horizontal="center" vertical="center"/>
    </xf>
    <xf numFmtId="0" fontId="26" fillId="0" borderId="30" xfId="1" applyFont="1" applyFill="1" applyBorder="1" applyAlignment="1">
      <alignment vertical="center"/>
    </xf>
    <xf numFmtId="0" fontId="26" fillId="0" borderId="30" xfId="1" applyFont="1" applyFill="1" applyBorder="1" applyAlignment="1">
      <alignment horizontal="center" vertical="center" textRotation="255"/>
    </xf>
    <xf numFmtId="0" fontId="26" fillId="0" borderId="30" xfId="1" applyFont="1" applyFill="1" applyBorder="1" applyAlignment="1">
      <alignment vertical="center" textRotation="255"/>
    </xf>
    <xf numFmtId="0" fontId="26" fillId="0" borderId="34" xfId="1" applyFont="1" applyFill="1" applyBorder="1" applyAlignment="1">
      <alignment horizontal="center" vertical="center"/>
    </xf>
    <xf numFmtId="0" fontId="26" fillId="0" borderId="36" xfId="1" applyFont="1" applyFill="1" applyBorder="1" applyAlignment="1">
      <alignment horizontal="left" vertical="center" shrinkToFit="1"/>
    </xf>
    <xf numFmtId="0" fontId="26" fillId="0" borderId="31" xfId="1" applyFont="1" applyFill="1" applyBorder="1" applyAlignment="1">
      <alignment horizontal="center" vertical="center"/>
    </xf>
    <xf numFmtId="0" fontId="26" fillId="0" borderId="32" xfId="1" applyFont="1" applyFill="1" applyBorder="1" applyAlignment="1">
      <alignment horizontal="center" vertical="center"/>
    </xf>
    <xf numFmtId="0" fontId="26" fillId="0" borderId="33" xfId="1" applyFont="1" applyFill="1" applyBorder="1" applyAlignment="1">
      <alignment horizontal="center" vertical="center"/>
    </xf>
    <xf numFmtId="182" fontId="26" fillId="0" borderId="30" xfId="1" applyNumberFormat="1" applyFont="1" applyFill="1" applyBorder="1" applyAlignment="1">
      <alignment horizontal="center" vertical="center"/>
    </xf>
    <xf numFmtId="0" fontId="7" fillId="0" borderId="30" xfId="1" applyFont="1" applyFill="1" applyBorder="1" applyAlignment="1">
      <alignment horizontal="left" vertical="top" wrapText="1"/>
    </xf>
    <xf numFmtId="0" fontId="14" fillId="0" borderId="0" xfId="1" applyFont="1" applyAlignment="1">
      <alignment horizontal="center" vertical="center" shrinkToFit="1"/>
    </xf>
    <xf numFmtId="0" fontId="2" fillId="0" borderId="0" xfId="1" applyFont="1" applyAlignment="1">
      <alignment horizontal="center" vertical="center"/>
    </xf>
    <xf numFmtId="0" fontId="0" fillId="0" borderId="0" xfId="0" applyAlignment="1">
      <alignment horizontal="center" vertical="center"/>
    </xf>
    <xf numFmtId="56" fontId="9" fillId="0" borderId="0" xfId="1" applyNumberFormat="1" applyFont="1" applyBorder="1" applyAlignment="1">
      <alignment horizontal="left" shrinkToFit="1"/>
    </xf>
    <xf numFmtId="0" fontId="9" fillId="0" borderId="0" xfId="1" applyFont="1" applyBorder="1" applyAlignment="1">
      <alignment horizontal="left" shrinkToFit="1"/>
    </xf>
    <xf numFmtId="0" fontId="13"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17" fillId="0" borderId="0" xfId="1" applyFont="1" applyAlignment="1">
      <alignment horizontal="center" vertical="center" shrinkToFit="1"/>
    </xf>
    <xf numFmtId="0" fontId="4" fillId="0" borderId="0" xfId="1" applyFont="1" applyAlignment="1">
      <alignment horizontal="center" vertical="center" shrinkToFit="1"/>
    </xf>
  </cellXfs>
  <cellStyles count="4">
    <cellStyle name="標準" xfId="0" builtinId="0"/>
    <cellStyle name="標準 2" xfId="1"/>
    <cellStyle name="標準 2 16"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s>
</file>

<file path=xl/drawings/_rels/drawing2.xml.rels><?xml version="1.0" encoding="UTF-8" standalone="yes"?>
<Relationships xmlns="http://schemas.openxmlformats.org/package/2006/relationships"><Relationship Id="rId1" Type="http://schemas.openxmlformats.org/officeDocument/2006/relationships/image" Target="../media/image30.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1.jpeg"/></Relationships>
</file>

<file path=xl/drawings/drawing1.xml><?xml version="1.0" encoding="utf-8"?>
<xdr:wsDr xmlns:xdr="http://schemas.openxmlformats.org/drawingml/2006/spreadsheetDrawing" xmlns:a="http://schemas.openxmlformats.org/drawingml/2006/main">
  <xdr:twoCellAnchor>
    <xdr:from>
      <xdr:col>2</xdr:col>
      <xdr:colOff>768340</xdr:colOff>
      <xdr:row>67</xdr:row>
      <xdr:rowOff>151162</xdr:rowOff>
    </xdr:from>
    <xdr:to>
      <xdr:col>2</xdr:col>
      <xdr:colOff>1543050</xdr:colOff>
      <xdr:row>71</xdr:row>
      <xdr:rowOff>4288</xdr:rowOff>
    </xdr:to>
    <xdr:pic>
      <xdr:nvPicPr>
        <xdr:cNvPr id="12"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940" y="12171712"/>
          <a:ext cx="774710" cy="538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127000</xdr:colOff>
      <xdr:row>60</xdr:row>
      <xdr:rowOff>127001</xdr:rowOff>
    </xdr:from>
    <xdr:to>
      <xdr:col>10</xdr:col>
      <xdr:colOff>79375</xdr:colOff>
      <xdr:row>65</xdr:row>
      <xdr:rowOff>111125</xdr:rowOff>
    </xdr:to>
    <xdr:grpSp>
      <xdr:nvGrpSpPr>
        <xdr:cNvPr id="2" name="グループ化 17"/>
        <xdr:cNvGrpSpPr>
          <a:grpSpLocks/>
        </xdr:cNvGrpSpPr>
      </xdr:nvGrpSpPr>
      <xdr:grpSpPr bwMode="auto">
        <a:xfrm>
          <a:off x="8032750" y="10947401"/>
          <a:ext cx="1152525" cy="841374"/>
          <a:chOff x="5094162" y="13729221"/>
          <a:chExt cx="1685722" cy="823040"/>
        </a:xfrm>
      </xdr:grpSpPr>
      <xdr:sp macro="" textlink="">
        <xdr:nvSpPr>
          <xdr:cNvPr id="3" name="テキスト ボックス 2"/>
          <xdr:cNvSpPr txBox="1"/>
        </xdr:nvSpPr>
        <xdr:spPr bwMode="auto">
          <a:xfrm>
            <a:off x="5094162" y="13838299"/>
            <a:ext cx="1685722" cy="63463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4225</xdr:colOff>
      <xdr:row>63</xdr:row>
      <xdr:rowOff>158117</xdr:rowOff>
    </xdr:from>
    <xdr:to>
      <xdr:col>2</xdr:col>
      <xdr:colOff>343508</xdr:colOff>
      <xdr:row>69</xdr:row>
      <xdr:rowOff>90419</xdr:rowOff>
    </xdr:to>
    <xdr:pic>
      <xdr:nvPicPr>
        <xdr:cNvPr id="9" name="図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25" y="11492867"/>
          <a:ext cx="948883" cy="961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90078</xdr:colOff>
      <xdr:row>64</xdr:row>
      <xdr:rowOff>37497</xdr:rowOff>
    </xdr:from>
    <xdr:to>
      <xdr:col>2</xdr:col>
      <xdr:colOff>1453607</xdr:colOff>
      <xdr:row>68</xdr:row>
      <xdr:rowOff>93583</xdr:rowOff>
    </xdr:to>
    <xdr:pic>
      <xdr:nvPicPr>
        <xdr:cNvPr id="10" name="図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9678" y="11543697"/>
          <a:ext cx="1363529" cy="741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5195</xdr:colOff>
      <xdr:row>66</xdr:row>
      <xdr:rowOff>69565</xdr:rowOff>
    </xdr:from>
    <xdr:to>
      <xdr:col>7</xdr:col>
      <xdr:colOff>94204</xdr:colOff>
      <xdr:row>69</xdr:row>
      <xdr:rowOff>165763</xdr:rowOff>
    </xdr:to>
    <xdr:pic>
      <xdr:nvPicPr>
        <xdr:cNvPr id="11" name="図 9"/>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303601" y="11594815"/>
          <a:ext cx="529541" cy="596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1868459</xdr:colOff>
      <xdr:row>65</xdr:row>
      <xdr:rowOff>95110</xdr:rowOff>
    </xdr:from>
    <xdr:to>
      <xdr:col>3</xdr:col>
      <xdr:colOff>953501</xdr:colOff>
      <xdr:row>70</xdr:row>
      <xdr:rowOff>22012</xdr:rowOff>
    </xdr:to>
    <xdr:pic>
      <xdr:nvPicPr>
        <xdr:cNvPr id="13" name="図 1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75678" y="11453673"/>
          <a:ext cx="1109104" cy="760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273742</xdr:colOff>
      <xdr:row>65</xdr:row>
      <xdr:rowOff>152350</xdr:rowOff>
    </xdr:from>
    <xdr:to>
      <xdr:col>4</xdr:col>
      <xdr:colOff>642759</xdr:colOff>
      <xdr:row>69</xdr:row>
      <xdr:rowOff>20904</xdr:rowOff>
    </xdr:to>
    <xdr:pic>
      <xdr:nvPicPr>
        <xdr:cNvPr id="14" name="図 1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095648" y="11510913"/>
          <a:ext cx="369017" cy="535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797294</xdr:colOff>
      <xdr:row>65</xdr:row>
      <xdr:rowOff>43656</xdr:rowOff>
    </xdr:from>
    <xdr:to>
      <xdr:col>5</xdr:col>
      <xdr:colOff>47625</xdr:colOff>
      <xdr:row>69</xdr:row>
      <xdr:rowOff>471</xdr:rowOff>
    </xdr:to>
    <xdr:pic>
      <xdr:nvPicPr>
        <xdr:cNvPr id="15" name="図 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flipH="1" flipV="1">
          <a:off x="4619200" y="11402219"/>
          <a:ext cx="440956" cy="62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545586</xdr:colOff>
      <xdr:row>65</xdr:row>
      <xdr:rowOff>89983</xdr:rowOff>
    </xdr:from>
    <xdr:to>
      <xdr:col>5</xdr:col>
      <xdr:colOff>1021672</xdr:colOff>
      <xdr:row>69</xdr:row>
      <xdr:rowOff>91213</xdr:rowOff>
    </xdr:to>
    <xdr:pic>
      <xdr:nvPicPr>
        <xdr:cNvPr id="16" name="図 15"/>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558117" y="11448546"/>
          <a:ext cx="476086" cy="667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39337</xdr:colOff>
      <xdr:row>0</xdr:row>
      <xdr:rowOff>0</xdr:rowOff>
    </xdr:from>
    <xdr:to>
      <xdr:col>21</xdr:col>
      <xdr:colOff>104593</xdr:colOff>
      <xdr:row>4</xdr:row>
      <xdr:rowOff>155130</xdr:rowOff>
    </xdr:to>
    <xdr:grpSp>
      <xdr:nvGrpSpPr>
        <xdr:cNvPr id="17" name="グループ化 16"/>
        <xdr:cNvGrpSpPr>
          <a:grpSpLocks/>
        </xdr:cNvGrpSpPr>
      </xdr:nvGrpSpPr>
      <xdr:grpSpPr bwMode="auto">
        <a:xfrm>
          <a:off x="382237" y="0"/>
          <a:ext cx="18143706" cy="1374330"/>
          <a:chOff x="-28119" y="-108584"/>
          <a:chExt cx="20980053" cy="1134313"/>
        </a:xfrm>
      </xdr:grpSpPr>
      <xdr:pic>
        <xdr:nvPicPr>
          <xdr:cNvPr id="18" name="図 17"/>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325557" y="-43085"/>
            <a:ext cx="898072" cy="85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18"/>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6022583" y="17515"/>
            <a:ext cx="1959429" cy="496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19"/>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086400" y="81026"/>
            <a:ext cx="571500" cy="219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20"/>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9089594" y="-36777"/>
            <a:ext cx="435428" cy="656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2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0156404" y="89625"/>
            <a:ext cx="79553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3" name="グループ化 22"/>
          <xdr:cNvGrpSpPr>
            <a:grpSpLocks/>
          </xdr:cNvGrpSpPr>
        </xdr:nvGrpSpPr>
        <xdr:grpSpPr bwMode="auto">
          <a:xfrm>
            <a:off x="-28119" y="-108584"/>
            <a:ext cx="13721927" cy="1134313"/>
            <a:chOff x="-28119" y="-108584"/>
            <a:chExt cx="13721927" cy="1134313"/>
          </a:xfrm>
        </xdr:grpSpPr>
        <xdr:pic>
          <xdr:nvPicPr>
            <xdr:cNvPr id="24" name="図 23"/>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1015942" y="-108584"/>
              <a:ext cx="1130189" cy="966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5" name="グループ化 24"/>
            <xdr:cNvGrpSpPr>
              <a:grpSpLocks/>
            </xdr:cNvGrpSpPr>
          </xdr:nvGrpSpPr>
          <xdr:grpSpPr bwMode="auto">
            <a:xfrm>
              <a:off x="-28119" y="-36776"/>
              <a:ext cx="9130099" cy="1062505"/>
              <a:chOff x="-28119" y="-36776"/>
              <a:chExt cx="9130099" cy="1062505"/>
            </a:xfrm>
          </xdr:grpSpPr>
          <xdr:grpSp>
            <xdr:nvGrpSpPr>
              <xdr:cNvPr id="28" name="グループ化 27"/>
              <xdr:cNvGrpSpPr>
                <a:grpSpLocks/>
              </xdr:cNvGrpSpPr>
            </xdr:nvGrpSpPr>
            <xdr:grpSpPr bwMode="auto">
              <a:xfrm>
                <a:off x="-28119" y="-36776"/>
                <a:ext cx="3273203" cy="1062505"/>
                <a:chOff x="-28119" y="-36776"/>
                <a:chExt cx="3273203" cy="1062505"/>
              </a:xfrm>
            </xdr:grpSpPr>
            <xdr:pic>
              <xdr:nvPicPr>
                <xdr:cNvPr id="35" name="図 35"/>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632858" y="0"/>
                  <a:ext cx="816428" cy="800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36"/>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8119" y="6818"/>
                  <a:ext cx="732502" cy="476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37"/>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77405" y="-36776"/>
                  <a:ext cx="2123080" cy="106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38"/>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612572" y="40822"/>
                  <a:ext cx="632512"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29" name="図 28"/>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3469821" y="95251"/>
                <a:ext cx="182403" cy="312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29"/>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4068535" y="27215"/>
                <a:ext cx="340179" cy="315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30"/>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4871357" y="40821"/>
                <a:ext cx="1647336" cy="408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31"/>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885214" y="108857"/>
                <a:ext cx="258535" cy="234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32"/>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flipH="1">
                <a:off x="6513334" y="54134"/>
                <a:ext cx="258535" cy="234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34"/>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8918451" y="39314"/>
                <a:ext cx="183529" cy="312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26" name="図 25"/>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3067879" y="79381"/>
              <a:ext cx="625929" cy="2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26"/>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476439" y="81348"/>
              <a:ext cx="79553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8</xdr:col>
      <xdr:colOff>175176</xdr:colOff>
      <xdr:row>0</xdr:row>
      <xdr:rowOff>163618</xdr:rowOff>
    </xdr:from>
    <xdr:to>
      <xdr:col>8</xdr:col>
      <xdr:colOff>798856</xdr:colOff>
      <xdr:row>0</xdr:row>
      <xdr:rowOff>518724</xdr:rowOff>
    </xdr:to>
    <xdr:pic>
      <xdr:nvPicPr>
        <xdr:cNvPr id="8" name="図 2"/>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7261776" y="163618"/>
          <a:ext cx="623680" cy="35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342900</xdr:colOff>
      <xdr:row>58</xdr:row>
      <xdr:rowOff>88812</xdr:rowOff>
    </xdr:from>
    <xdr:to>
      <xdr:col>20</xdr:col>
      <xdr:colOff>1069975</xdr:colOff>
      <xdr:row>66</xdr:row>
      <xdr:rowOff>17661</xdr:rowOff>
    </xdr:to>
    <xdr:pic>
      <xdr:nvPicPr>
        <xdr:cNvPr id="39" name="図 3"/>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6611600" y="9747162"/>
          <a:ext cx="1536700" cy="1224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873936</xdr:colOff>
      <xdr:row>64</xdr:row>
      <xdr:rowOff>19050</xdr:rowOff>
    </xdr:from>
    <xdr:to>
      <xdr:col>18</xdr:col>
      <xdr:colOff>180975</xdr:colOff>
      <xdr:row>66</xdr:row>
      <xdr:rowOff>99712</xdr:rowOff>
    </xdr:to>
    <xdr:pic>
      <xdr:nvPicPr>
        <xdr:cNvPr id="40" name="図 4"/>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5094761" y="10648950"/>
          <a:ext cx="1040589" cy="404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330483</xdr:colOff>
      <xdr:row>63</xdr:row>
      <xdr:rowOff>93667</xdr:rowOff>
    </xdr:from>
    <xdr:to>
      <xdr:col>16</xdr:col>
      <xdr:colOff>602718</xdr:colOff>
      <xdr:row>65</xdr:row>
      <xdr:rowOff>128404</xdr:rowOff>
    </xdr:to>
    <xdr:pic>
      <xdr:nvPicPr>
        <xdr:cNvPr id="41" name="図 7"/>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4551308" y="10561642"/>
          <a:ext cx="272235" cy="358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1154388</xdr:colOff>
      <xdr:row>7</xdr:row>
      <xdr:rowOff>110417</xdr:rowOff>
    </xdr:from>
    <xdr:to>
      <xdr:col>2</xdr:col>
      <xdr:colOff>1670685</xdr:colOff>
      <xdr:row>11</xdr:row>
      <xdr:rowOff>0</xdr:rowOff>
    </xdr:to>
    <xdr:pic>
      <xdr:nvPicPr>
        <xdr:cNvPr id="42" name="図 1"/>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754463" y="1510592"/>
          <a:ext cx="516297" cy="537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4159250</xdr:colOff>
      <xdr:row>0</xdr:row>
      <xdr:rowOff>0</xdr:rowOff>
    </xdr:from>
    <xdr:to>
      <xdr:col>14</xdr:col>
      <xdr:colOff>26193</xdr:colOff>
      <xdr:row>5</xdr:row>
      <xdr:rowOff>394087</xdr:rowOff>
    </xdr:to>
    <xdr:pic>
      <xdr:nvPicPr>
        <xdr:cNvPr id="205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65250" y="0"/>
          <a:ext cx="3090068" cy="2235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4102100</xdr:colOff>
      <xdr:row>0</xdr:row>
      <xdr:rowOff>15876</xdr:rowOff>
    </xdr:from>
    <xdr:to>
      <xdr:col>13</xdr:col>
      <xdr:colOff>7048500</xdr:colOff>
      <xdr:row>5</xdr:row>
      <xdr:rowOff>304304</xdr:rowOff>
    </xdr:to>
    <xdr:pic>
      <xdr:nvPicPr>
        <xdr:cNvPr id="15371"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14475" y="15876"/>
          <a:ext cx="2946400" cy="21299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tabSelected="1" zoomScale="50" zoomScaleNormal="50" zoomScaleSheetLayoutView="85" workbookViewId="0"/>
  </sheetViews>
  <sheetFormatPr defaultRowHeight="13.5" x14ac:dyDescent="0.15"/>
  <cols>
    <col min="1" max="1" width="4.5" style="89" bestFit="1" customWidth="1"/>
    <col min="2" max="2" width="3.375" style="90" bestFit="1" customWidth="1"/>
    <col min="3" max="3" width="26.625" style="90" customWidth="1"/>
    <col min="4" max="5" width="15.625" style="90" customWidth="1"/>
    <col min="6" max="6" width="16.875" style="90" customWidth="1"/>
    <col min="7" max="7" width="5.75" style="91" customWidth="1"/>
    <col min="8" max="8" width="4" style="90" customWidth="1"/>
    <col min="9" max="9" width="10.625" style="90" customWidth="1"/>
    <col min="10" max="10" width="15.625" style="90" customWidth="1"/>
    <col min="11" max="11" width="2.25" style="90" customWidth="1"/>
    <col min="12" max="12" width="4.5" style="155" bestFit="1" customWidth="1"/>
    <col min="13" max="13" width="3.375" style="90" bestFit="1" customWidth="1"/>
    <col min="14" max="14" width="26.625" style="90" customWidth="1"/>
    <col min="15" max="16" width="15.625" style="90" customWidth="1"/>
    <col min="17" max="17" width="16.875" style="90" customWidth="1"/>
    <col min="18" max="18" width="5.875" style="91" customWidth="1"/>
    <col min="19" max="19" width="4.125" style="90" bestFit="1" customWidth="1"/>
    <col min="20" max="20" width="10.625" style="90" customWidth="1"/>
    <col min="21" max="21" width="15.625" style="90" customWidth="1"/>
    <col min="22" max="16384" width="9" style="90"/>
  </cols>
  <sheetData>
    <row r="1" spans="1:21" ht="54.75" customHeight="1" x14ac:dyDescent="0.15">
      <c r="L1" s="89"/>
    </row>
    <row r="2" spans="1:21" s="89" customFormat="1" ht="12.75" customHeight="1" x14ac:dyDescent="0.15">
      <c r="A2" s="161" t="s">
        <v>307</v>
      </c>
      <c r="B2" s="180" t="s">
        <v>308</v>
      </c>
      <c r="C2" s="181"/>
      <c r="D2" s="182" t="s">
        <v>309</v>
      </c>
      <c r="E2" s="183"/>
      <c r="F2" s="184"/>
      <c r="G2" s="185" t="s">
        <v>310</v>
      </c>
      <c r="H2" s="186"/>
      <c r="I2" s="187"/>
      <c r="J2" s="92"/>
      <c r="K2" s="93"/>
      <c r="L2" s="161" t="s">
        <v>12</v>
      </c>
      <c r="M2" s="180" t="s">
        <v>308</v>
      </c>
      <c r="N2" s="181"/>
      <c r="O2" s="191" t="s">
        <v>309</v>
      </c>
      <c r="P2" s="191"/>
      <c r="Q2" s="191"/>
      <c r="R2" s="185" t="s">
        <v>310</v>
      </c>
      <c r="S2" s="186"/>
      <c r="T2" s="187"/>
      <c r="U2" s="92"/>
    </row>
    <row r="3" spans="1:21" s="89" customFormat="1" ht="12.75" customHeight="1" x14ac:dyDescent="0.15">
      <c r="A3" s="161"/>
      <c r="B3" s="180"/>
      <c r="C3" s="181"/>
      <c r="D3" s="162" t="s">
        <v>311</v>
      </c>
      <c r="E3" s="165" t="s">
        <v>312</v>
      </c>
      <c r="F3" s="168" t="s">
        <v>313</v>
      </c>
      <c r="G3" s="171" t="s">
        <v>314</v>
      </c>
      <c r="H3" s="172"/>
      <c r="I3" s="175" t="s">
        <v>315</v>
      </c>
      <c r="J3" s="177" t="s">
        <v>316</v>
      </c>
      <c r="K3" s="93"/>
      <c r="L3" s="161"/>
      <c r="M3" s="180"/>
      <c r="N3" s="181"/>
      <c r="O3" s="188" t="s">
        <v>311</v>
      </c>
      <c r="P3" s="189" t="s">
        <v>312</v>
      </c>
      <c r="Q3" s="190" t="s">
        <v>313</v>
      </c>
      <c r="R3" s="171" t="s">
        <v>314</v>
      </c>
      <c r="S3" s="172"/>
      <c r="T3" s="175" t="s">
        <v>315</v>
      </c>
      <c r="U3" s="177" t="s">
        <v>316</v>
      </c>
    </row>
    <row r="4" spans="1:21" s="89" customFormat="1" ht="12.75" customHeight="1" x14ac:dyDescent="0.15">
      <c r="A4" s="161"/>
      <c r="B4" s="180"/>
      <c r="C4" s="181"/>
      <c r="D4" s="163"/>
      <c r="E4" s="166"/>
      <c r="F4" s="169"/>
      <c r="G4" s="171"/>
      <c r="H4" s="172"/>
      <c r="I4" s="175"/>
      <c r="J4" s="178"/>
      <c r="K4" s="93"/>
      <c r="L4" s="161"/>
      <c r="M4" s="180"/>
      <c r="N4" s="181"/>
      <c r="O4" s="188"/>
      <c r="P4" s="189"/>
      <c r="Q4" s="190"/>
      <c r="R4" s="171"/>
      <c r="S4" s="172"/>
      <c r="T4" s="175"/>
      <c r="U4" s="178"/>
    </row>
    <row r="5" spans="1:21" s="89" customFormat="1" ht="12.75" customHeight="1" x14ac:dyDescent="0.15">
      <c r="A5" s="161"/>
      <c r="B5" s="180"/>
      <c r="C5" s="181"/>
      <c r="D5" s="163"/>
      <c r="E5" s="166"/>
      <c r="F5" s="169"/>
      <c r="G5" s="171"/>
      <c r="H5" s="172"/>
      <c r="I5" s="175"/>
      <c r="J5" s="178"/>
      <c r="K5" s="93"/>
      <c r="L5" s="161"/>
      <c r="M5" s="180"/>
      <c r="N5" s="181"/>
      <c r="O5" s="188"/>
      <c r="P5" s="189"/>
      <c r="Q5" s="190"/>
      <c r="R5" s="171"/>
      <c r="S5" s="172"/>
      <c r="T5" s="175"/>
      <c r="U5" s="178"/>
    </row>
    <row r="6" spans="1:21" s="89" customFormat="1" ht="12.75" customHeight="1" x14ac:dyDescent="0.15">
      <c r="A6" s="161"/>
      <c r="B6" s="180"/>
      <c r="C6" s="181"/>
      <c r="D6" s="164"/>
      <c r="E6" s="167"/>
      <c r="F6" s="170"/>
      <c r="G6" s="173"/>
      <c r="H6" s="174"/>
      <c r="I6" s="176"/>
      <c r="J6" s="179"/>
      <c r="K6" s="93"/>
      <c r="L6" s="161"/>
      <c r="M6" s="180"/>
      <c r="N6" s="181"/>
      <c r="O6" s="188"/>
      <c r="P6" s="189"/>
      <c r="Q6" s="190"/>
      <c r="R6" s="173"/>
      <c r="S6" s="174"/>
      <c r="T6" s="176"/>
      <c r="U6" s="179"/>
    </row>
    <row r="7" spans="1:21" ht="12.75" customHeight="1" x14ac:dyDescent="0.15">
      <c r="A7" s="199" t="s">
        <v>317</v>
      </c>
      <c r="B7" s="201" t="s">
        <v>318</v>
      </c>
      <c r="C7" s="94" t="s">
        <v>319</v>
      </c>
      <c r="D7" s="202" t="s">
        <v>320</v>
      </c>
      <c r="E7" s="202" t="s">
        <v>321</v>
      </c>
      <c r="F7" s="202" t="s">
        <v>322</v>
      </c>
      <c r="G7" s="95">
        <f>(583*0.75)</f>
        <v>437.25</v>
      </c>
      <c r="H7" s="96" t="s">
        <v>323</v>
      </c>
      <c r="I7" s="196" t="s">
        <v>324</v>
      </c>
      <c r="J7" s="97" t="s">
        <v>62</v>
      </c>
      <c r="K7" s="98"/>
      <c r="L7" s="192">
        <v>18</v>
      </c>
      <c r="M7" s="194" t="s">
        <v>325</v>
      </c>
      <c r="N7" s="94" t="s">
        <v>20</v>
      </c>
      <c r="O7" s="195" t="s">
        <v>326</v>
      </c>
      <c r="P7" s="195" t="s">
        <v>327</v>
      </c>
      <c r="Q7" s="195" t="s">
        <v>328</v>
      </c>
      <c r="R7" s="99">
        <f>(622*0.75)</f>
        <v>466.5</v>
      </c>
      <c r="S7" s="96" t="s">
        <v>323</v>
      </c>
      <c r="T7" s="196" t="s">
        <v>329</v>
      </c>
      <c r="U7" s="97" t="s">
        <v>62</v>
      </c>
    </row>
    <row r="8" spans="1:21" ht="12.75" customHeight="1" x14ac:dyDescent="0.15">
      <c r="A8" s="200"/>
      <c r="B8" s="201"/>
      <c r="C8" s="100" t="s">
        <v>37</v>
      </c>
      <c r="D8" s="203"/>
      <c r="E8" s="203"/>
      <c r="F8" s="203"/>
      <c r="G8" s="101">
        <f>(21.3*0.75)</f>
        <v>15.975000000000001</v>
      </c>
      <c r="H8" s="102" t="s">
        <v>330</v>
      </c>
      <c r="I8" s="197"/>
      <c r="J8" s="103" t="s">
        <v>331</v>
      </c>
      <c r="K8" s="104"/>
      <c r="L8" s="193"/>
      <c r="M8" s="194"/>
      <c r="N8" s="105" t="s">
        <v>119</v>
      </c>
      <c r="O8" s="195"/>
      <c r="P8" s="195"/>
      <c r="Q8" s="195"/>
      <c r="R8" s="101">
        <f>(22.6*0.75)</f>
        <v>16.950000000000003</v>
      </c>
      <c r="S8" s="106" t="s">
        <v>330</v>
      </c>
      <c r="T8" s="197"/>
      <c r="U8" s="103" t="s">
        <v>332</v>
      </c>
    </row>
    <row r="9" spans="1:21" ht="12.75" customHeight="1" x14ac:dyDescent="0.15">
      <c r="A9" s="200"/>
      <c r="B9" s="201"/>
      <c r="C9" s="106" t="s">
        <v>52</v>
      </c>
      <c r="D9" s="203"/>
      <c r="E9" s="203"/>
      <c r="F9" s="203"/>
      <c r="G9" s="101">
        <f>(19.1*0.75)</f>
        <v>14.325000000000001</v>
      </c>
      <c r="H9" s="102" t="s">
        <v>333</v>
      </c>
      <c r="I9" s="197"/>
      <c r="J9" s="103" t="s">
        <v>334</v>
      </c>
      <c r="K9" s="104"/>
      <c r="L9" s="193"/>
      <c r="M9" s="194"/>
      <c r="N9" s="106" t="s">
        <v>126</v>
      </c>
      <c r="O9" s="195"/>
      <c r="P9" s="195"/>
      <c r="Q9" s="195"/>
      <c r="R9" s="101">
        <f>(16.8*0.75)</f>
        <v>12.600000000000001</v>
      </c>
      <c r="S9" s="106" t="s">
        <v>333</v>
      </c>
      <c r="T9" s="197"/>
      <c r="U9" s="103"/>
    </row>
    <row r="10" spans="1:21" ht="12.75" customHeight="1" x14ac:dyDescent="0.15">
      <c r="A10" s="200"/>
      <c r="B10" s="201"/>
      <c r="C10" s="106" t="s">
        <v>58</v>
      </c>
      <c r="D10" s="203"/>
      <c r="E10" s="203"/>
      <c r="F10" s="203"/>
      <c r="G10" s="101">
        <f>(79*0.75)</f>
        <v>59.25</v>
      </c>
      <c r="H10" s="102" t="s">
        <v>333</v>
      </c>
      <c r="I10" s="197"/>
      <c r="J10" s="103"/>
      <c r="K10" s="104"/>
      <c r="L10" s="193"/>
      <c r="M10" s="194"/>
      <c r="N10" s="106" t="s">
        <v>80</v>
      </c>
      <c r="O10" s="195"/>
      <c r="P10" s="195"/>
      <c r="Q10" s="195"/>
      <c r="R10" s="101">
        <f>(91.4*0.75)</f>
        <v>68.550000000000011</v>
      </c>
      <c r="S10" s="106" t="s">
        <v>333</v>
      </c>
      <c r="T10" s="197"/>
      <c r="U10" s="103"/>
    </row>
    <row r="11" spans="1:21" ht="12.75" customHeight="1" x14ac:dyDescent="0.15">
      <c r="A11" s="200"/>
      <c r="B11" s="201"/>
      <c r="C11" s="107"/>
      <c r="D11" s="204"/>
      <c r="E11" s="204"/>
      <c r="F11" s="204"/>
      <c r="G11" s="108">
        <f>(1.4*0.75)</f>
        <v>1.0499999999999998</v>
      </c>
      <c r="H11" s="109" t="s">
        <v>333</v>
      </c>
      <c r="I11" s="198"/>
      <c r="J11" s="110"/>
      <c r="K11" s="104"/>
      <c r="L11" s="193"/>
      <c r="M11" s="194"/>
      <c r="N11" s="107" t="s">
        <v>131</v>
      </c>
      <c r="O11" s="195"/>
      <c r="P11" s="195"/>
      <c r="Q11" s="195"/>
      <c r="R11" s="108">
        <f>(1.6*0.75)</f>
        <v>1.2000000000000002</v>
      </c>
      <c r="S11" s="107" t="s">
        <v>333</v>
      </c>
      <c r="T11" s="198"/>
      <c r="U11" s="110"/>
    </row>
    <row r="12" spans="1:21" ht="12.75" customHeight="1" x14ac:dyDescent="0.15">
      <c r="A12" s="111"/>
      <c r="B12" s="112"/>
      <c r="C12" s="113"/>
      <c r="D12" s="114"/>
      <c r="E12" s="114"/>
      <c r="F12" s="114"/>
      <c r="G12" s="115"/>
      <c r="H12" s="113"/>
      <c r="I12" s="116"/>
      <c r="J12" s="117"/>
      <c r="K12" s="118"/>
      <c r="L12" s="205">
        <v>19</v>
      </c>
      <c r="M12" s="205" t="s">
        <v>335</v>
      </c>
      <c r="N12" s="119" t="s">
        <v>137</v>
      </c>
      <c r="O12" s="195" t="s">
        <v>336</v>
      </c>
      <c r="P12" s="195" t="s">
        <v>337</v>
      </c>
      <c r="Q12" s="195" t="s">
        <v>338</v>
      </c>
      <c r="R12" s="99">
        <f>(615*0.75)</f>
        <v>461.25</v>
      </c>
      <c r="S12" s="96" t="s">
        <v>339</v>
      </c>
      <c r="T12" s="196" t="s">
        <v>340</v>
      </c>
      <c r="U12" s="97" t="s">
        <v>62</v>
      </c>
    </row>
    <row r="13" spans="1:21" ht="12.75" customHeight="1" x14ac:dyDescent="0.15">
      <c r="A13" s="120"/>
      <c r="B13" s="121"/>
      <c r="C13" s="122"/>
      <c r="D13" s="123"/>
      <c r="E13" s="123"/>
      <c r="F13" s="123"/>
      <c r="G13" s="124"/>
      <c r="H13" s="122"/>
      <c r="I13" s="125"/>
      <c r="J13" s="126"/>
      <c r="K13" s="118"/>
      <c r="L13" s="205"/>
      <c r="M13" s="205"/>
      <c r="N13" s="106" t="s">
        <v>250</v>
      </c>
      <c r="O13" s="195"/>
      <c r="P13" s="195"/>
      <c r="Q13" s="195"/>
      <c r="R13" s="101">
        <f>(18.4*0.75)</f>
        <v>13.799999999999999</v>
      </c>
      <c r="S13" s="106" t="s">
        <v>333</v>
      </c>
      <c r="T13" s="197"/>
      <c r="U13" s="103" t="s">
        <v>341</v>
      </c>
    </row>
    <row r="14" spans="1:21" ht="12.75" customHeight="1" x14ac:dyDescent="0.15">
      <c r="A14" s="192">
        <v>5</v>
      </c>
      <c r="B14" s="194" t="s">
        <v>335</v>
      </c>
      <c r="C14" s="119" t="s">
        <v>137</v>
      </c>
      <c r="D14" s="202" t="s">
        <v>342</v>
      </c>
      <c r="E14" s="202" t="s">
        <v>343</v>
      </c>
      <c r="F14" s="202" t="s">
        <v>344</v>
      </c>
      <c r="G14" s="99">
        <f>(622*0.75)</f>
        <v>466.5</v>
      </c>
      <c r="H14" s="96" t="s">
        <v>345</v>
      </c>
      <c r="I14" s="196" t="s">
        <v>346</v>
      </c>
      <c r="J14" s="97" t="s">
        <v>62</v>
      </c>
      <c r="K14" s="118"/>
      <c r="L14" s="205"/>
      <c r="M14" s="205"/>
      <c r="N14" s="106" t="s">
        <v>82</v>
      </c>
      <c r="O14" s="195"/>
      <c r="P14" s="195"/>
      <c r="Q14" s="195"/>
      <c r="R14" s="101">
        <f>(18.9*0.75)</f>
        <v>14.174999999999999</v>
      </c>
      <c r="S14" s="106" t="s">
        <v>333</v>
      </c>
      <c r="T14" s="197"/>
      <c r="U14" s="103"/>
    </row>
    <row r="15" spans="1:21" ht="12.75" customHeight="1" x14ac:dyDescent="0.15">
      <c r="A15" s="193"/>
      <c r="B15" s="194"/>
      <c r="C15" s="106" t="s">
        <v>144</v>
      </c>
      <c r="D15" s="203"/>
      <c r="E15" s="203"/>
      <c r="F15" s="203"/>
      <c r="G15" s="101">
        <f>(19*0.75)</f>
        <v>14.25</v>
      </c>
      <c r="H15" s="106" t="s">
        <v>333</v>
      </c>
      <c r="I15" s="197"/>
      <c r="J15" s="103" t="s">
        <v>341</v>
      </c>
      <c r="K15" s="118"/>
      <c r="L15" s="205"/>
      <c r="M15" s="205"/>
      <c r="N15" s="106"/>
      <c r="O15" s="195"/>
      <c r="P15" s="195"/>
      <c r="Q15" s="195"/>
      <c r="R15" s="101">
        <f>(90.2*0.75)</f>
        <v>67.650000000000006</v>
      </c>
      <c r="S15" s="106" t="s">
        <v>333</v>
      </c>
      <c r="T15" s="197"/>
      <c r="U15" s="103"/>
    </row>
    <row r="16" spans="1:21" ht="12.75" customHeight="1" x14ac:dyDescent="0.15">
      <c r="A16" s="193"/>
      <c r="B16" s="194"/>
      <c r="C16" s="106" t="s">
        <v>148</v>
      </c>
      <c r="D16" s="203"/>
      <c r="E16" s="203"/>
      <c r="F16" s="203"/>
      <c r="G16" s="101">
        <f>(18.8*0.75)</f>
        <v>14.100000000000001</v>
      </c>
      <c r="H16" s="106" t="s">
        <v>333</v>
      </c>
      <c r="I16" s="197"/>
      <c r="J16" s="103"/>
      <c r="K16" s="118"/>
      <c r="L16" s="205"/>
      <c r="M16" s="205"/>
      <c r="N16" s="107"/>
      <c r="O16" s="195"/>
      <c r="P16" s="195"/>
      <c r="Q16" s="195"/>
      <c r="R16" s="108">
        <f>(1.8*0.75)</f>
        <v>1.35</v>
      </c>
      <c r="S16" s="107" t="s">
        <v>333</v>
      </c>
      <c r="T16" s="198"/>
      <c r="U16" s="110"/>
    </row>
    <row r="17" spans="1:21" ht="12.75" customHeight="1" x14ac:dyDescent="0.15">
      <c r="A17" s="193"/>
      <c r="B17" s="194"/>
      <c r="C17" s="106"/>
      <c r="D17" s="203"/>
      <c r="E17" s="203"/>
      <c r="F17" s="203"/>
      <c r="G17" s="101">
        <f>(91.2*0.75)</f>
        <v>68.400000000000006</v>
      </c>
      <c r="H17" s="106" t="s">
        <v>333</v>
      </c>
      <c r="I17" s="197"/>
      <c r="J17" s="103"/>
      <c r="K17" s="98"/>
      <c r="L17" s="205">
        <v>20</v>
      </c>
      <c r="M17" s="205" t="s">
        <v>73</v>
      </c>
      <c r="N17" s="94" t="s">
        <v>20</v>
      </c>
      <c r="O17" s="195" t="s">
        <v>347</v>
      </c>
      <c r="P17" s="195" t="s">
        <v>348</v>
      </c>
      <c r="Q17" s="195" t="s">
        <v>349</v>
      </c>
      <c r="R17" s="99">
        <f>(583*0.75)</f>
        <v>437.25</v>
      </c>
      <c r="S17" s="96" t="s">
        <v>345</v>
      </c>
      <c r="T17" s="196" t="s">
        <v>115</v>
      </c>
      <c r="U17" s="97" t="s">
        <v>62</v>
      </c>
    </row>
    <row r="18" spans="1:21" ht="12.75" customHeight="1" x14ac:dyDescent="0.15">
      <c r="A18" s="193"/>
      <c r="B18" s="194"/>
      <c r="C18" s="107"/>
      <c r="D18" s="204"/>
      <c r="E18" s="204"/>
      <c r="F18" s="204"/>
      <c r="G18" s="108">
        <f>(1.8*0.75)</f>
        <v>1.35</v>
      </c>
      <c r="H18" s="107" t="s">
        <v>333</v>
      </c>
      <c r="I18" s="198"/>
      <c r="J18" s="110"/>
      <c r="K18" s="118"/>
      <c r="L18" s="205"/>
      <c r="M18" s="205"/>
      <c r="N18" s="127" t="s">
        <v>154</v>
      </c>
      <c r="O18" s="195"/>
      <c r="P18" s="195"/>
      <c r="Q18" s="195"/>
      <c r="R18" s="101">
        <f>(22.1*0.75)</f>
        <v>16.575000000000003</v>
      </c>
      <c r="S18" s="106" t="s">
        <v>333</v>
      </c>
      <c r="T18" s="197"/>
      <c r="U18" s="103" t="s">
        <v>350</v>
      </c>
    </row>
    <row r="19" spans="1:21" ht="12.75" customHeight="1" x14ac:dyDescent="0.15">
      <c r="A19" s="205">
        <v>6</v>
      </c>
      <c r="B19" s="194" t="s">
        <v>73</v>
      </c>
      <c r="C19" s="94" t="s">
        <v>20</v>
      </c>
      <c r="D19" s="202" t="s">
        <v>351</v>
      </c>
      <c r="E19" s="202" t="s">
        <v>348</v>
      </c>
      <c r="F19" s="202" t="s">
        <v>352</v>
      </c>
      <c r="G19" s="99">
        <f>(583*0.75)</f>
        <v>437.25</v>
      </c>
      <c r="H19" s="96" t="s">
        <v>345</v>
      </c>
      <c r="I19" s="196" t="s">
        <v>115</v>
      </c>
      <c r="J19" s="97" t="s">
        <v>62</v>
      </c>
      <c r="K19" s="118"/>
      <c r="L19" s="205"/>
      <c r="M19" s="205"/>
      <c r="N19" s="106" t="s">
        <v>162</v>
      </c>
      <c r="O19" s="195"/>
      <c r="P19" s="195"/>
      <c r="Q19" s="195"/>
      <c r="R19" s="101">
        <f>(19.9*0.75)</f>
        <v>14.924999999999999</v>
      </c>
      <c r="S19" s="106" t="s">
        <v>333</v>
      </c>
      <c r="T19" s="197"/>
      <c r="U19" s="103"/>
    </row>
    <row r="20" spans="1:21" ht="12.75" customHeight="1" x14ac:dyDescent="0.15">
      <c r="A20" s="206"/>
      <c r="B20" s="194"/>
      <c r="C20" s="127" t="s">
        <v>154</v>
      </c>
      <c r="D20" s="203"/>
      <c r="E20" s="203"/>
      <c r="F20" s="203"/>
      <c r="G20" s="101">
        <f>(21.7*0.75)</f>
        <v>16.274999999999999</v>
      </c>
      <c r="H20" s="106" t="s">
        <v>333</v>
      </c>
      <c r="I20" s="197"/>
      <c r="J20" s="103" t="s">
        <v>350</v>
      </c>
      <c r="K20" s="118"/>
      <c r="L20" s="205"/>
      <c r="M20" s="205"/>
      <c r="N20" s="106" t="s">
        <v>112</v>
      </c>
      <c r="O20" s="195"/>
      <c r="P20" s="195"/>
      <c r="Q20" s="195"/>
      <c r="R20" s="101">
        <f>(76.7*0.75)</f>
        <v>57.525000000000006</v>
      </c>
      <c r="S20" s="106" t="s">
        <v>333</v>
      </c>
      <c r="T20" s="197"/>
      <c r="U20" s="103"/>
    </row>
    <row r="21" spans="1:21" ht="12.75" customHeight="1" x14ac:dyDescent="0.15">
      <c r="A21" s="206"/>
      <c r="B21" s="194"/>
      <c r="C21" s="106" t="s">
        <v>162</v>
      </c>
      <c r="D21" s="203"/>
      <c r="E21" s="203"/>
      <c r="F21" s="203"/>
      <c r="G21" s="101">
        <f>(20*0.75)</f>
        <v>15</v>
      </c>
      <c r="H21" s="106" t="s">
        <v>333</v>
      </c>
      <c r="I21" s="197"/>
      <c r="J21" s="103"/>
      <c r="K21" s="118"/>
      <c r="L21" s="205"/>
      <c r="M21" s="205"/>
      <c r="N21" s="107" t="s">
        <v>189</v>
      </c>
      <c r="O21" s="195"/>
      <c r="P21" s="195"/>
      <c r="Q21" s="195"/>
      <c r="R21" s="108">
        <f>(1.7*0.75)</f>
        <v>1.2749999999999999</v>
      </c>
      <c r="S21" s="107" t="s">
        <v>333</v>
      </c>
      <c r="T21" s="198"/>
      <c r="U21" s="110"/>
    </row>
    <row r="22" spans="1:21" ht="12.75" customHeight="1" x14ac:dyDescent="0.15">
      <c r="A22" s="206"/>
      <c r="B22" s="194"/>
      <c r="C22" s="106" t="s">
        <v>112</v>
      </c>
      <c r="D22" s="203"/>
      <c r="E22" s="203"/>
      <c r="F22" s="203"/>
      <c r="G22" s="101">
        <f>(76.8*0.75)</f>
        <v>57.599999999999994</v>
      </c>
      <c r="H22" s="106" t="s">
        <v>333</v>
      </c>
      <c r="I22" s="197"/>
      <c r="J22" s="103"/>
      <c r="K22" s="98"/>
      <c r="L22" s="205">
        <v>21</v>
      </c>
      <c r="M22" s="205" t="s">
        <v>353</v>
      </c>
      <c r="N22" s="128" t="s">
        <v>169</v>
      </c>
      <c r="O22" s="195" t="s">
        <v>354</v>
      </c>
      <c r="P22" s="195" t="s">
        <v>355</v>
      </c>
      <c r="Q22" s="195" t="s">
        <v>356</v>
      </c>
      <c r="R22" s="99">
        <f>(585*0.75)</f>
        <v>438.75</v>
      </c>
      <c r="S22" s="96" t="s">
        <v>357</v>
      </c>
      <c r="T22" s="196" t="s">
        <v>329</v>
      </c>
      <c r="U22" s="97" t="s">
        <v>62</v>
      </c>
    </row>
    <row r="23" spans="1:21" ht="12.75" customHeight="1" x14ac:dyDescent="0.15">
      <c r="A23" s="206"/>
      <c r="B23" s="194"/>
      <c r="C23" s="107" t="s">
        <v>166</v>
      </c>
      <c r="D23" s="204"/>
      <c r="E23" s="204"/>
      <c r="F23" s="204"/>
      <c r="G23" s="108">
        <f>(1.7*0.75)</f>
        <v>1.2749999999999999</v>
      </c>
      <c r="H23" s="107" t="s">
        <v>358</v>
      </c>
      <c r="I23" s="198"/>
      <c r="J23" s="110"/>
      <c r="K23" s="118"/>
      <c r="L23" s="205"/>
      <c r="M23" s="205"/>
      <c r="N23" s="106" t="s">
        <v>176</v>
      </c>
      <c r="O23" s="195"/>
      <c r="P23" s="195"/>
      <c r="Q23" s="195"/>
      <c r="R23" s="101">
        <f>(24*0.75)</f>
        <v>18</v>
      </c>
      <c r="S23" s="106" t="s">
        <v>358</v>
      </c>
      <c r="T23" s="197"/>
      <c r="U23" s="103" t="s">
        <v>359</v>
      </c>
    </row>
    <row r="24" spans="1:21" ht="12.75" customHeight="1" x14ac:dyDescent="0.15">
      <c r="A24" s="205">
        <v>7</v>
      </c>
      <c r="B24" s="194" t="s">
        <v>353</v>
      </c>
      <c r="C24" s="128" t="s">
        <v>169</v>
      </c>
      <c r="D24" s="202" t="s">
        <v>354</v>
      </c>
      <c r="E24" s="202" t="s">
        <v>355</v>
      </c>
      <c r="F24" s="202" t="s">
        <v>356</v>
      </c>
      <c r="G24" s="99">
        <f>(585*0.75)</f>
        <v>438.75</v>
      </c>
      <c r="H24" s="96" t="s">
        <v>357</v>
      </c>
      <c r="I24" s="196" t="s">
        <v>329</v>
      </c>
      <c r="J24" s="97" t="s">
        <v>62</v>
      </c>
      <c r="K24" s="118"/>
      <c r="L24" s="205"/>
      <c r="M24" s="205"/>
      <c r="N24" s="106" t="s">
        <v>112</v>
      </c>
      <c r="O24" s="195"/>
      <c r="P24" s="195"/>
      <c r="Q24" s="195"/>
      <c r="R24" s="101">
        <f>(21.9*0.75)</f>
        <v>16.424999999999997</v>
      </c>
      <c r="S24" s="106" t="s">
        <v>358</v>
      </c>
      <c r="T24" s="197"/>
      <c r="U24" s="103" t="s">
        <v>360</v>
      </c>
    </row>
    <row r="25" spans="1:21" ht="12.75" customHeight="1" x14ac:dyDescent="0.15">
      <c r="A25" s="206"/>
      <c r="B25" s="194"/>
      <c r="C25" s="106" t="s">
        <v>176</v>
      </c>
      <c r="D25" s="203"/>
      <c r="E25" s="203"/>
      <c r="F25" s="203"/>
      <c r="G25" s="101">
        <f>(24*0.75)</f>
        <v>18</v>
      </c>
      <c r="H25" s="106" t="s">
        <v>358</v>
      </c>
      <c r="I25" s="197"/>
      <c r="J25" s="103" t="s">
        <v>359</v>
      </c>
      <c r="K25" s="118"/>
      <c r="L25" s="205"/>
      <c r="M25" s="205"/>
      <c r="N25" s="106"/>
      <c r="O25" s="195"/>
      <c r="P25" s="195"/>
      <c r="Q25" s="195"/>
      <c r="R25" s="101">
        <f>(70.3*0.75)</f>
        <v>52.724999999999994</v>
      </c>
      <c r="S25" s="106" t="s">
        <v>358</v>
      </c>
      <c r="T25" s="197"/>
      <c r="U25" s="103"/>
    </row>
    <row r="26" spans="1:21" ht="12.75" customHeight="1" x14ac:dyDescent="0.15">
      <c r="A26" s="206"/>
      <c r="B26" s="194"/>
      <c r="C26" s="106" t="s">
        <v>112</v>
      </c>
      <c r="D26" s="203"/>
      <c r="E26" s="203"/>
      <c r="F26" s="203"/>
      <c r="G26" s="101">
        <f>(21.9*0.75)</f>
        <v>16.424999999999997</v>
      </c>
      <c r="H26" s="106" t="s">
        <v>358</v>
      </c>
      <c r="I26" s="197"/>
      <c r="J26" s="103" t="s">
        <v>360</v>
      </c>
      <c r="K26" s="118"/>
      <c r="L26" s="205"/>
      <c r="M26" s="205"/>
      <c r="N26" s="107"/>
      <c r="O26" s="195"/>
      <c r="P26" s="195"/>
      <c r="Q26" s="195"/>
      <c r="R26" s="108">
        <f>(1.5*0.75)</f>
        <v>1.125</v>
      </c>
      <c r="S26" s="107" t="s">
        <v>358</v>
      </c>
      <c r="T26" s="198"/>
      <c r="U26" s="110"/>
    </row>
    <row r="27" spans="1:21" ht="12.75" customHeight="1" x14ac:dyDescent="0.15">
      <c r="A27" s="206"/>
      <c r="B27" s="194"/>
      <c r="C27" s="106"/>
      <c r="D27" s="203"/>
      <c r="E27" s="203"/>
      <c r="F27" s="203"/>
      <c r="G27" s="101">
        <f>(70.3*0.75)</f>
        <v>52.724999999999994</v>
      </c>
      <c r="H27" s="106" t="s">
        <v>358</v>
      </c>
      <c r="I27" s="197"/>
      <c r="J27" s="103"/>
      <c r="K27" s="98"/>
      <c r="L27" s="192">
        <v>22</v>
      </c>
      <c r="M27" s="205" t="s">
        <v>361</v>
      </c>
      <c r="N27" s="94" t="s">
        <v>180</v>
      </c>
      <c r="O27" s="195" t="s">
        <v>362</v>
      </c>
      <c r="P27" s="195" t="s">
        <v>363</v>
      </c>
      <c r="Q27" s="195" t="s">
        <v>364</v>
      </c>
      <c r="R27" s="99">
        <f>(538*0.75)</f>
        <v>403.5</v>
      </c>
      <c r="S27" s="96" t="s">
        <v>357</v>
      </c>
      <c r="T27" s="196" t="s">
        <v>365</v>
      </c>
      <c r="U27" s="97" t="s">
        <v>62</v>
      </c>
    </row>
    <row r="28" spans="1:21" ht="12.75" customHeight="1" x14ac:dyDescent="0.15">
      <c r="A28" s="206"/>
      <c r="B28" s="194"/>
      <c r="C28" s="107"/>
      <c r="D28" s="204"/>
      <c r="E28" s="204"/>
      <c r="F28" s="204"/>
      <c r="G28" s="108">
        <f>(1.5*0.75)</f>
        <v>1.125</v>
      </c>
      <c r="H28" s="107" t="s">
        <v>358</v>
      </c>
      <c r="I28" s="198"/>
      <c r="J28" s="110"/>
      <c r="K28" s="118"/>
      <c r="L28" s="205"/>
      <c r="M28" s="205"/>
      <c r="N28" s="127" t="s">
        <v>182</v>
      </c>
      <c r="O28" s="195"/>
      <c r="P28" s="195"/>
      <c r="Q28" s="195"/>
      <c r="R28" s="101">
        <f>(18*0.75)</f>
        <v>13.5</v>
      </c>
      <c r="S28" s="106" t="s">
        <v>358</v>
      </c>
      <c r="T28" s="197"/>
      <c r="U28" s="103" t="s">
        <v>366</v>
      </c>
    </row>
    <row r="29" spans="1:21" ht="12.75" customHeight="1" x14ac:dyDescent="0.15">
      <c r="A29" s="207">
        <v>8</v>
      </c>
      <c r="B29" s="194" t="s">
        <v>361</v>
      </c>
      <c r="C29" s="94" t="s">
        <v>180</v>
      </c>
      <c r="D29" s="202" t="s">
        <v>367</v>
      </c>
      <c r="E29" s="202" t="s">
        <v>363</v>
      </c>
      <c r="F29" s="202" t="s">
        <v>364</v>
      </c>
      <c r="G29" s="99">
        <f>(538*0.75)</f>
        <v>403.5</v>
      </c>
      <c r="H29" s="96" t="s">
        <v>357</v>
      </c>
      <c r="I29" s="196" t="s">
        <v>365</v>
      </c>
      <c r="J29" s="97" t="s">
        <v>62</v>
      </c>
      <c r="K29" s="118"/>
      <c r="L29" s="205"/>
      <c r="M29" s="205"/>
      <c r="N29" s="106" t="s">
        <v>186</v>
      </c>
      <c r="O29" s="195"/>
      <c r="P29" s="195"/>
      <c r="Q29" s="195"/>
      <c r="R29" s="101">
        <f>(12.8*0.75)</f>
        <v>9.6000000000000014</v>
      </c>
      <c r="S29" s="106" t="s">
        <v>358</v>
      </c>
      <c r="T29" s="197"/>
      <c r="U29" s="103" t="s">
        <v>368</v>
      </c>
    </row>
    <row r="30" spans="1:21" ht="12.75" customHeight="1" x14ac:dyDescent="0.15">
      <c r="A30" s="208"/>
      <c r="B30" s="194"/>
      <c r="C30" s="127" t="s">
        <v>182</v>
      </c>
      <c r="D30" s="203"/>
      <c r="E30" s="203"/>
      <c r="F30" s="203"/>
      <c r="G30" s="101">
        <f>(18*0.75)</f>
        <v>13.5</v>
      </c>
      <c r="H30" s="106" t="s">
        <v>358</v>
      </c>
      <c r="I30" s="197"/>
      <c r="J30" s="103" t="s">
        <v>369</v>
      </c>
      <c r="K30" s="118"/>
      <c r="L30" s="205"/>
      <c r="M30" s="205"/>
      <c r="N30" s="106" t="s">
        <v>80</v>
      </c>
      <c r="O30" s="195"/>
      <c r="P30" s="195"/>
      <c r="Q30" s="195"/>
      <c r="R30" s="101">
        <f>(85.9*0.75)</f>
        <v>64.425000000000011</v>
      </c>
      <c r="S30" s="106" t="s">
        <v>358</v>
      </c>
      <c r="T30" s="197"/>
      <c r="U30" s="103"/>
    </row>
    <row r="31" spans="1:21" ht="12.75" customHeight="1" x14ac:dyDescent="0.15">
      <c r="A31" s="208"/>
      <c r="B31" s="194"/>
      <c r="C31" s="106" t="s">
        <v>186</v>
      </c>
      <c r="D31" s="203"/>
      <c r="E31" s="203"/>
      <c r="F31" s="203"/>
      <c r="G31" s="101">
        <f>(12.8*0.75)</f>
        <v>9.6000000000000014</v>
      </c>
      <c r="H31" s="106" t="s">
        <v>358</v>
      </c>
      <c r="I31" s="197"/>
      <c r="J31" s="103" t="s">
        <v>368</v>
      </c>
      <c r="K31" s="118"/>
      <c r="L31" s="209"/>
      <c r="M31" s="209"/>
      <c r="N31" s="106" t="s">
        <v>189</v>
      </c>
      <c r="O31" s="202"/>
      <c r="P31" s="202"/>
      <c r="Q31" s="202"/>
      <c r="R31" s="101">
        <f>(1.6*0.75)</f>
        <v>1.2000000000000002</v>
      </c>
      <c r="S31" s="106" t="s">
        <v>358</v>
      </c>
      <c r="T31" s="197"/>
      <c r="U31" s="103"/>
    </row>
    <row r="32" spans="1:21" ht="12.75" customHeight="1" x14ac:dyDescent="0.15">
      <c r="A32" s="208"/>
      <c r="B32" s="194"/>
      <c r="C32" s="106" t="s">
        <v>80</v>
      </c>
      <c r="D32" s="203"/>
      <c r="E32" s="203"/>
      <c r="F32" s="203"/>
      <c r="G32" s="101">
        <f>(85.9*0.75)</f>
        <v>64.425000000000011</v>
      </c>
      <c r="H32" s="106" t="s">
        <v>358</v>
      </c>
      <c r="I32" s="197"/>
      <c r="J32" s="103"/>
      <c r="K32" s="98"/>
      <c r="L32" s="111"/>
      <c r="M32" s="112"/>
      <c r="N32" s="113"/>
      <c r="O32" s="114"/>
      <c r="P32" s="114"/>
      <c r="Q32" s="114"/>
      <c r="R32" s="115"/>
      <c r="S32" s="113"/>
      <c r="T32" s="116"/>
      <c r="U32" s="117"/>
    </row>
    <row r="33" spans="1:21" ht="12.75" customHeight="1" x14ac:dyDescent="0.15">
      <c r="A33" s="208"/>
      <c r="B33" s="194"/>
      <c r="C33" s="107" t="s">
        <v>189</v>
      </c>
      <c r="D33" s="204"/>
      <c r="E33" s="204"/>
      <c r="F33" s="204"/>
      <c r="G33" s="108">
        <f>(1.6*0.75)</f>
        <v>1.2000000000000002</v>
      </c>
      <c r="H33" s="107" t="s">
        <v>358</v>
      </c>
      <c r="I33" s="198"/>
      <c r="J33" s="110"/>
      <c r="K33" s="118"/>
      <c r="L33" s="120"/>
      <c r="M33" s="121"/>
      <c r="N33" s="122"/>
      <c r="O33" s="123"/>
      <c r="P33" s="123"/>
      <c r="Q33" s="123"/>
      <c r="R33" s="124"/>
      <c r="S33" s="122"/>
      <c r="T33" s="125"/>
      <c r="U33" s="126"/>
    </row>
    <row r="34" spans="1:21" ht="12.75" customHeight="1" x14ac:dyDescent="0.15">
      <c r="A34" s="111"/>
      <c r="B34" s="112"/>
      <c r="C34" s="113"/>
      <c r="D34" s="114"/>
      <c r="E34" s="114"/>
      <c r="F34" s="114"/>
      <c r="G34" s="115"/>
      <c r="H34" s="113"/>
      <c r="I34" s="116"/>
      <c r="J34" s="117"/>
      <c r="K34" s="118"/>
      <c r="L34" s="205">
        <v>25</v>
      </c>
      <c r="M34" s="205" t="s">
        <v>325</v>
      </c>
      <c r="N34" s="129" t="s">
        <v>193</v>
      </c>
      <c r="O34" s="195" t="s">
        <v>370</v>
      </c>
      <c r="P34" s="195" t="s">
        <v>371</v>
      </c>
      <c r="Q34" s="195" t="s">
        <v>372</v>
      </c>
      <c r="R34" s="99">
        <f>(681*0.75)</f>
        <v>510.75</v>
      </c>
      <c r="S34" s="96" t="s">
        <v>357</v>
      </c>
      <c r="T34" s="196" t="s">
        <v>329</v>
      </c>
      <c r="U34" s="97" t="s">
        <v>62</v>
      </c>
    </row>
    <row r="35" spans="1:21" ht="12.75" customHeight="1" x14ac:dyDescent="0.15">
      <c r="A35" s="120"/>
      <c r="B35" s="121"/>
      <c r="C35" s="122"/>
      <c r="D35" s="123"/>
      <c r="E35" s="123"/>
      <c r="F35" s="123"/>
      <c r="G35" s="124"/>
      <c r="H35" s="122"/>
      <c r="I35" s="125"/>
      <c r="J35" s="126"/>
      <c r="K35" s="118"/>
      <c r="L35" s="205"/>
      <c r="M35" s="205"/>
      <c r="N35" s="100" t="s">
        <v>194</v>
      </c>
      <c r="O35" s="195"/>
      <c r="P35" s="195"/>
      <c r="Q35" s="195"/>
      <c r="R35" s="101">
        <f>(22.3*0.75)</f>
        <v>16.725000000000001</v>
      </c>
      <c r="S35" s="106" t="s">
        <v>358</v>
      </c>
      <c r="T35" s="197"/>
      <c r="U35" s="103" t="s">
        <v>373</v>
      </c>
    </row>
    <row r="36" spans="1:21" ht="12.75" customHeight="1" x14ac:dyDescent="0.15">
      <c r="A36" s="205">
        <v>11</v>
      </c>
      <c r="B36" s="194" t="s">
        <v>325</v>
      </c>
      <c r="C36" s="129" t="s">
        <v>193</v>
      </c>
      <c r="D36" s="202" t="s">
        <v>370</v>
      </c>
      <c r="E36" s="202" t="s">
        <v>371</v>
      </c>
      <c r="F36" s="202" t="s">
        <v>372</v>
      </c>
      <c r="G36" s="99">
        <f>(681*0.75)</f>
        <v>510.75</v>
      </c>
      <c r="H36" s="96" t="s">
        <v>357</v>
      </c>
      <c r="I36" s="196" t="s">
        <v>329</v>
      </c>
      <c r="J36" s="97" t="s">
        <v>62</v>
      </c>
      <c r="K36" s="118"/>
      <c r="L36" s="205"/>
      <c r="M36" s="205"/>
      <c r="N36" s="106" t="s">
        <v>198</v>
      </c>
      <c r="O36" s="195"/>
      <c r="P36" s="195"/>
      <c r="Q36" s="195"/>
      <c r="R36" s="101">
        <f>(21.9*0.75)</f>
        <v>16.424999999999997</v>
      </c>
      <c r="S36" s="106" t="s">
        <v>358</v>
      </c>
      <c r="T36" s="197"/>
      <c r="U36" s="103"/>
    </row>
    <row r="37" spans="1:21" ht="12.75" customHeight="1" x14ac:dyDescent="0.15">
      <c r="A37" s="206"/>
      <c r="B37" s="194"/>
      <c r="C37" s="100" t="s">
        <v>194</v>
      </c>
      <c r="D37" s="203"/>
      <c r="E37" s="203"/>
      <c r="F37" s="203"/>
      <c r="G37" s="101">
        <f>(22.3*0.75)</f>
        <v>16.725000000000001</v>
      </c>
      <c r="H37" s="106" t="s">
        <v>358</v>
      </c>
      <c r="I37" s="197"/>
      <c r="J37" s="103" t="s">
        <v>373</v>
      </c>
      <c r="K37" s="98"/>
      <c r="L37" s="205"/>
      <c r="M37" s="205"/>
      <c r="N37" s="106" t="s">
        <v>82</v>
      </c>
      <c r="O37" s="195"/>
      <c r="P37" s="195"/>
      <c r="Q37" s="195"/>
      <c r="R37" s="101">
        <f>(97.7*0.75)</f>
        <v>73.275000000000006</v>
      </c>
      <c r="S37" s="106" t="s">
        <v>358</v>
      </c>
      <c r="T37" s="197"/>
      <c r="U37" s="103"/>
    </row>
    <row r="38" spans="1:21" ht="12.75" customHeight="1" x14ac:dyDescent="0.15">
      <c r="A38" s="206"/>
      <c r="B38" s="194"/>
      <c r="C38" s="106" t="s">
        <v>198</v>
      </c>
      <c r="D38" s="203"/>
      <c r="E38" s="203"/>
      <c r="F38" s="203"/>
      <c r="G38" s="101">
        <f>(21.9*0.75)</f>
        <v>16.424999999999997</v>
      </c>
      <c r="H38" s="106" t="s">
        <v>358</v>
      </c>
      <c r="I38" s="197"/>
      <c r="J38" s="103"/>
      <c r="K38" s="118"/>
      <c r="L38" s="205"/>
      <c r="M38" s="205"/>
      <c r="N38" s="107"/>
      <c r="O38" s="195"/>
      <c r="P38" s="195"/>
      <c r="Q38" s="195"/>
      <c r="R38" s="108">
        <f>(2*0.75)</f>
        <v>1.5</v>
      </c>
      <c r="S38" s="107" t="s">
        <v>358</v>
      </c>
      <c r="T38" s="198"/>
      <c r="U38" s="110"/>
    </row>
    <row r="39" spans="1:21" ht="12.75" customHeight="1" x14ac:dyDescent="0.15">
      <c r="A39" s="206"/>
      <c r="B39" s="194"/>
      <c r="C39" s="106" t="s">
        <v>82</v>
      </c>
      <c r="D39" s="203"/>
      <c r="E39" s="203"/>
      <c r="F39" s="203"/>
      <c r="G39" s="101">
        <f>(97.7*0.75)</f>
        <v>73.275000000000006</v>
      </c>
      <c r="H39" s="106" t="s">
        <v>358</v>
      </c>
      <c r="I39" s="197"/>
      <c r="J39" s="103"/>
      <c r="K39" s="118"/>
      <c r="L39" s="205">
        <v>26</v>
      </c>
      <c r="M39" s="205" t="s">
        <v>335</v>
      </c>
      <c r="N39" s="94" t="s">
        <v>20</v>
      </c>
      <c r="O39" s="195" t="s">
        <v>374</v>
      </c>
      <c r="P39" s="195" t="s">
        <v>375</v>
      </c>
      <c r="Q39" s="195" t="s">
        <v>376</v>
      </c>
      <c r="R39" s="99">
        <f>(593*0.75)</f>
        <v>444.75</v>
      </c>
      <c r="S39" s="96" t="s">
        <v>357</v>
      </c>
      <c r="T39" s="196" t="s">
        <v>329</v>
      </c>
      <c r="U39" s="97" t="s">
        <v>62</v>
      </c>
    </row>
    <row r="40" spans="1:21" ht="12.75" customHeight="1" x14ac:dyDescent="0.15">
      <c r="A40" s="206"/>
      <c r="B40" s="194"/>
      <c r="C40" s="107"/>
      <c r="D40" s="204"/>
      <c r="E40" s="204"/>
      <c r="F40" s="204"/>
      <c r="G40" s="108">
        <f>(2*0.75)</f>
        <v>1.5</v>
      </c>
      <c r="H40" s="107" t="s">
        <v>358</v>
      </c>
      <c r="I40" s="198"/>
      <c r="J40" s="110"/>
      <c r="K40" s="118"/>
      <c r="L40" s="205"/>
      <c r="M40" s="205"/>
      <c r="N40" s="127" t="s">
        <v>202</v>
      </c>
      <c r="O40" s="195"/>
      <c r="P40" s="195"/>
      <c r="Q40" s="195"/>
      <c r="R40" s="101">
        <f>(21.8*0.75)</f>
        <v>16.350000000000001</v>
      </c>
      <c r="S40" s="106" t="s">
        <v>358</v>
      </c>
      <c r="T40" s="197"/>
      <c r="U40" s="103" t="s">
        <v>377</v>
      </c>
    </row>
    <row r="41" spans="1:21" ht="12.75" customHeight="1" x14ac:dyDescent="0.15">
      <c r="A41" s="205">
        <v>12</v>
      </c>
      <c r="B41" s="194" t="s">
        <v>335</v>
      </c>
      <c r="C41" s="129" t="s">
        <v>20</v>
      </c>
      <c r="D41" s="202" t="s">
        <v>374</v>
      </c>
      <c r="E41" s="202" t="s">
        <v>375</v>
      </c>
      <c r="F41" s="202" t="s">
        <v>376</v>
      </c>
      <c r="G41" s="99">
        <f>(593*0.75)</f>
        <v>444.75</v>
      </c>
      <c r="H41" s="96" t="s">
        <v>357</v>
      </c>
      <c r="I41" s="196" t="s">
        <v>329</v>
      </c>
      <c r="J41" s="97" t="s">
        <v>62</v>
      </c>
      <c r="K41" s="118"/>
      <c r="L41" s="205"/>
      <c r="M41" s="205"/>
      <c r="N41" s="106" t="s">
        <v>208</v>
      </c>
      <c r="O41" s="195"/>
      <c r="P41" s="195"/>
      <c r="Q41" s="195"/>
      <c r="R41" s="101">
        <f>(17.8*0.75)</f>
        <v>13.350000000000001</v>
      </c>
      <c r="S41" s="106" t="s">
        <v>358</v>
      </c>
      <c r="T41" s="197"/>
      <c r="U41" s="103"/>
    </row>
    <row r="42" spans="1:21" ht="12.75" customHeight="1" x14ac:dyDescent="0.15">
      <c r="A42" s="206"/>
      <c r="B42" s="194"/>
      <c r="C42" s="127" t="s">
        <v>202</v>
      </c>
      <c r="D42" s="203"/>
      <c r="E42" s="203"/>
      <c r="F42" s="203"/>
      <c r="G42" s="101">
        <f>(21.8*0.75)</f>
        <v>16.350000000000001</v>
      </c>
      <c r="H42" s="106" t="s">
        <v>358</v>
      </c>
      <c r="I42" s="197"/>
      <c r="J42" s="103" t="s">
        <v>377</v>
      </c>
      <c r="K42" s="98"/>
      <c r="L42" s="205"/>
      <c r="M42" s="205"/>
      <c r="N42" s="106" t="s">
        <v>80</v>
      </c>
      <c r="O42" s="195"/>
      <c r="P42" s="195"/>
      <c r="Q42" s="195"/>
      <c r="R42" s="101">
        <f>(85.9*0.75)</f>
        <v>64.425000000000011</v>
      </c>
      <c r="S42" s="106" t="s">
        <v>358</v>
      </c>
      <c r="T42" s="197"/>
      <c r="U42" s="103"/>
    </row>
    <row r="43" spans="1:21" ht="12.75" customHeight="1" x14ac:dyDescent="0.15">
      <c r="A43" s="206"/>
      <c r="B43" s="194"/>
      <c r="C43" s="106" t="s">
        <v>208</v>
      </c>
      <c r="D43" s="203"/>
      <c r="E43" s="203"/>
      <c r="F43" s="203"/>
      <c r="G43" s="101">
        <f>(17.8*0.75)</f>
        <v>13.350000000000001</v>
      </c>
      <c r="H43" s="106" t="s">
        <v>358</v>
      </c>
      <c r="I43" s="197"/>
      <c r="J43" s="103"/>
      <c r="K43" s="118"/>
      <c r="L43" s="205"/>
      <c r="M43" s="205"/>
      <c r="N43" s="107" t="s">
        <v>58</v>
      </c>
      <c r="O43" s="195"/>
      <c r="P43" s="195"/>
      <c r="Q43" s="195"/>
      <c r="R43" s="108">
        <f>(1.2*0.75)</f>
        <v>0.89999999999999991</v>
      </c>
      <c r="S43" s="107" t="s">
        <v>358</v>
      </c>
      <c r="T43" s="198"/>
      <c r="U43" s="110"/>
    </row>
    <row r="44" spans="1:21" ht="12.75" customHeight="1" x14ac:dyDescent="0.15">
      <c r="A44" s="206"/>
      <c r="B44" s="194"/>
      <c r="C44" s="106" t="s">
        <v>80</v>
      </c>
      <c r="D44" s="203"/>
      <c r="E44" s="203"/>
      <c r="F44" s="203"/>
      <c r="G44" s="101">
        <f>(85.9*0.75)</f>
        <v>64.425000000000011</v>
      </c>
      <c r="H44" s="106" t="s">
        <v>358</v>
      </c>
      <c r="I44" s="197"/>
      <c r="J44" s="103"/>
      <c r="K44" s="118"/>
      <c r="L44" s="205">
        <v>27</v>
      </c>
      <c r="M44" s="205" t="s">
        <v>73</v>
      </c>
      <c r="N44" s="130" t="s">
        <v>212</v>
      </c>
      <c r="O44" s="195" t="s">
        <v>378</v>
      </c>
      <c r="P44" s="195" t="s">
        <v>379</v>
      </c>
      <c r="Q44" s="195" t="s">
        <v>380</v>
      </c>
      <c r="R44" s="99">
        <f>(557*0.75)</f>
        <v>417.75</v>
      </c>
      <c r="S44" s="96" t="s">
        <v>357</v>
      </c>
      <c r="T44" s="196" t="s">
        <v>381</v>
      </c>
      <c r="U44" s="97" t="s">
        <v>62</v>
      </c>
    </row>
    <row r="45" spans="1:21" ht="12.75" customHeight="1" x14ac:dyDescent="0.15">
      <c r="A45" s="206"/>
      <c r="B45" s="194"/>
      <c r="C45" s="107" t="s">
        <v>58</v>
      </c>
      <c r="D45" s="204"/>
      <c r="E45" s="204"/>
      <c r="F45" s="204"/>
      <c r="G45" s="108">
        <f>(1.2*0.75)</f>
        <v>0.89999999999999991</v>
      </c>
      <c r="H45" s="107" t="s">
        <v>358</v>
      </c>
      <c r="I45" s="198"/>
      <c r="J45" s="110"/>
      <c r="K45" s="118"/>
      <c r="L45" s="205"/>
      <c r="M45" s="205"/>
      <c r="N45" s="106" t="s">
        <v>218</v>
      </c>
      <c r="O45" s="195"/>
      <c r="P45" s="195"/>
      <c r="Q45" s="195"/>
      <c r="R45" s="101">
        <f>(23.7*0.75)</f>
        <v>17.774999999999999</v>
      </c>
      <c r="S45" s="106" t="s">
        <v>358</v>
      </c>
      <c r="T45" s="197"/>
      <c r="U45" s="103" t="s">
        <v>382</v>
      </c>
    </row>
    <row r="46" spans="1:21" ht="12.75" customHeight="1" x14ac:dyDescent="0.15">
      <c r="A46" s="205">
        <v>13</v>
      </c>
      <c r="B46" s="194" t="s">
        <v>73</v>
      </c>
      <c r="C46" s="130" t="s">
        <v>212</v>
      </c>
      <c r="D46" s="202" t="s">
        <v>383</v>
      </c>
      <c r="E46" s="202" t="s">
        <v>379</v>
      </c>
      <c r="F46" s="202" t="s">
        <v>380</v>
      </c>
      <c r="G46" s="99">
        <f>(557*0.75)</f>
        <v>417.75</v>
      </c>
      <c r="H46" s="96" t="s">
        <v>357</v>
      </c>
      <c r="I46" s="196" t="s">
        <v>381</v>
      </c>
      <c r="J46" s="97" t="s">
        <v>62</v>
      </c>
      <c r="K46" s="118"/>
      <c r="L46" s="205"/>
      <c r="M46" s="205"/>
      <c r="N46" s="106" t="s">
        <v>96</v>
      </c>
      <c r="O46" s="195"/>
      <c r="P46" s="195"/>
      <c r="Q46" s="195"/>
      <c r="R46" s="101">
        <f>(22.5*0.75)</f>
        <v>16.875</v>
      </c>
      <c r="S46" s="106" t="s">
        <v>358</v>
      </c>
      <c r="T46" s="197"/>
      <c r="U46" s="103" t="s">
        <v>384</v>
      </c>
    </row>
    <row r="47" spans="1:21" ht="12.75" customHeight="1" x14ac:dyDescent="0.15">
      <c r="A47" s="206"/>
      <c r="B47" s="194"/>
      <c r="C47" s="106" t="s">
        <v>218</v>
      </c>
      <c r="D47" s="203"/>
      <c r="E47" s="203"/>
      <c r="F47" s="203"/>
      <c r="G47" s="101">
        <f>(23.7*0.75)</f>
        <v>17.774999999999999</v>
      </c>
      <c r="H47" s="106" t="s">
        <v>358</v>
      </c>
      <c r="I47" s="197"/>
      <c r="J47" s="103" t="s">
        <v>382</v>
      </c>
      <c r="K47" s="98"/>
      <c r="L47" s="205"/>
      <c r="M47" s="205"/>
      <c r="N47" s="106"/>
      <c r="O47" s="195"/>
      <c r="P47" s="195"/>
      <c r="Q47" s="195"/>
      <c r="R47" s="101">
        <f>(63.3*0.75)</f>
        <v>47.474999999999994</v>
      </c>
      <c r="S47" s="106" t="s">
        <v>358</v>
      </c>
      <c r="T47" s="197"/>
      <c r="U47" s="103"/>
    </row>
    <row r="48" spans="1:21" ht="12.75" customHeight="1" x14ac:dyDescent="0.15">
      <c r="A48" s="206"/>
      <c r="B48" s="194"/>
      <c r="C48" s="106" t="s">
        <v>96</v>
      </c>
      <c r="D48" s="203"/>
      <c r="E48" s="203"/>
      <c r="F48" s="203"/>
      <c r="G48" s="101">
        <f>(22.5*0.75)</f>
        <v>16.875</v>
      </c>
      <c r="H48" s="106" t="s">
        <v>358</v>
      </c>
      <c r="I48" s="197"/>
      <c r="J48" s="103" t="s">
        <v>384</v>
      </c>
      <c r="K48" s="118"/>
      <c r="L48" s="205"/>
      <c r="M48" s="205"/>
      <c r="N48" s="107"/>
      <c r="O48" s="195"/>
      <c r="P48" s="195"/>
      <c r="Q48" s="195"/>
      <c r="R48" s="108">
        <f>(2.8*0.75)</f>
        <v>2.0999999999999996</v>
      </c>
      <c r="S48" s="107" t="s">
        <v>358</v>
      </c>
      <c r="T48" s="198"/>
      <c r="U48" s="110"/>
    </row>
    <row r="49" spans="1:21" ht="12.75" customHeight="1" x14ac:dyDescent="0.15">
      <c r="A49" s="206"/>
      <c r="B49" s="194"/>
      <c r="C49" s="106"/>
      <c r="D49" s="203"/>
      <c r="E49" s="203"/>
      <c r="F49" s="203"/>
      <c r="G49" s="101">
        <f>(63.3*0.75)</f>
        <v>47.474999999999994</v>
      </c>
      <c r="H49" s="106" t="s">
        <v>358</v>
      </c>
      <c r="I49" s="197"/>
      <c r="J49" s="103"/>
      <c r="K49" s="118"/>
      <c r="L49" s="205">
        <v>28</v>
      </c>
      <c r="M49" s="205" t="s">
        <v>353</v>
      </c>
      <c r="N49" s="131" t="s">
        <v>224</v>
      </c>
      <c r="O49" s="195" t="s">
        <v>385</v>
      </c>
      <c r="P49" s="195" t="s">
        <v>386</v>
      </c>
      <c r="Q49" s="195" t="s">
        <v>387</v>
      </c>
      <c r="R49" s="99">
        <f>(644*0.75)</f>
        <v>483</v>
      </c>
      <c r="S49" s="96" t="s">
        <v>388</v>
      </c>
      <c r="T49" s="196" t="s">
        <v>389</v>
      </c>
      <c r="U49" s="97" t="s">
        <v>62</v>
      </c>
    </row>
    <row r="50" spans="1:21" ht="12.75" customHeight="1" x14ac:dyDescent="0.15">
      <c r="A50" s="206"/>
      <c r="B50" s="194"/>
      <c r="C50" s="107"/>
      <c r="D50" s="204"/>
      <c r="E50" s="204"/>
      <c r="F50" s="204"/>
      <c r="G50" s="108">
        <f>(2.8*0.75)</f>
        <v>2.0999999999999996</v>
      </c>
      <c r="H50" s="107" t="s">
        <v>390</v>
      </c>
      <c r="I50" s="198"/>
      <c r="J50" s="110"/>
      <c r="K50" s="118"/>
      <c r="L50" s="205"/>
      <c r="M50" s="205"/>
      <c r="N50" s="106" t="s">
        <v>231</v>
      </c>
      <c r="O50" s="195"/>
      <c r="P50" s="195"/>
      <c r="Q50" s="195"/>
      <c r="R50" s="101">
        <f>(22.8*0.75)</f>
        <v>17.100000000000001</v>
      </c>
      <c r="S50" s="106" t="s">
        <v>390</v>
      </c>
      <c r="T50" s="197"/>
      <c r="U50" s="103" t="s">
        <v>391</v>
      </c>
    </row>
    <row r="51" spans="1:21" ht="12.75" customHeight="1" x14ac:dyDescent="0.15">
      <c r="A51" s="205">
        <v>14</v>
      </c>
      <c r="B51" s="194" t="s">
        <v>353</v>
      </c>
      <c r="C51" s="131" t="s">
        <v>224</v>
      </c>
      <c r="D51" s="202" t="s">
        <v>392</v>
      </c>
      <c r="E51" s="202" t="s">
        <v>393</v>
      </c>
      <c r="F51" s="202" t="s">
        <v>387</v>
      </c>
      <c r="G51" s="99">
        <f>(644*0.75)</f>
        <v>483</v>
      </c>
      <c r="H51" s="96" t="s">
        <v>388</v>
      </c>
      <c r="I51" s="196" t="s">
        <v>389</v>
      </c>
      <c r="J51" s="97" t="s">
        <v>62</v>
      </c>
      <c r="K51" s="118"/>
      <c r="L51" s="205"/>
      <c r="M51" s="205"/>
      <c r="N51" s="106" t="s">
        <v>112</v>
      </c>
      <c r="O51" s="195"/>
      <c r="P51" s="195"/>
      <c r="Q51" s="195"/>
      <c r="R51" s="101">
        <f>(17.8*0.75)</f>
        <v>13.350000000000001</v>
      </c>
      <c r="S51" s="106" t="s">
        <v>390</v>
      </c>
      <c r="T51" s="197"/>
      <c r="U51" s="103"/>
    </row>
    <row r="52" spans="1:21" ht="12.75" customHeight="1" x14ac:dyDescent="0.15">
      <c r="A52" s="206"/>
      <c r="B52" s="194"/>
      <c r="C52" s="106" t="s">
        <v>231</v>
      </c>
      <c r="D52" s="203"/>
      <c r="E52" s="203"/>
      <c r="F52" s="203"/>
      <c r="G52" s="101">
        <f>(22.8*0.75)</f>
        <v>17.100000000000001</v>
      </c>
      <c r="H52" s="106" t="s">
        <v>390</v>
      </c>
      <c r="I52" s="197"/>
      <c r="J52" s="103" t="s">
        <v>394</v>
      </c>
      <c r="K52" s="98"/>
      <c r="L52" s="205"/>
      <c r="M52" s="205"/>
      <c r="N52" s="106" t="s">
        <v>131</v>
      </c>
      <c r="O52" s="195"/>
      <c r="P52" s="195"/>
      <c r="Q52" s="195"/>
      <c r="R52" s="101">
        <f>(94.8*0.75)</f>
        <v>71.099999999999994</v>
      </c>
      <c r="S52" s="106" t="s">
        <v>390</v>
      </c>
      <c r="T52" s="197"/>
      <c r="U52" s="103"/>
    </row>
    <row r="53" spans="1:21" ht="12.75" customHeight="1" x14ac:dyDescent="0.15">
      <c r="A53" s="206"/>
      <c r="B53" s="194"/>
      <c r="C53" s="106" t="s">
        <v>112</v>
      </c>
      <c r="D53" s="203"/>
      <c r="E53" s="203"/>
      <c r="F53" s="203"/>
      <c r="G53" s="101">
        <f>(17.8*0.75)</f>
        <v>13.350000000000001</v>
      </c>
      <c r="H53" s="106" t="s">
        <v>390</v>
      </c>
      <c r="I53" s="197"/>
      <c r="J53" s="103" t="s">
        <v>395</v>
      </c>
      <c r="K53" s="118"/>
      <c r="L53" s="205"/>
      <c r="M53" s="205"/>
      <c r="N53" s="107"/>
      <c r="O53" s="195"/>
      <c r="P53" s="195"/>
      <c r="Q53" s="195"/>
      <c r="R53" s="108">
        <f>(1.7*0.75)</f>
        <v>1.2749999999999999</v>
      </c>
      <c r="S53" s="107" t="s">
        <v>390</v>
      </c>
      <c r="T53" s="198"/>
      <c r="U53" s="110"/>
    </row>
    <row r="54" spans="1:21" ht="12.75" customHeight="1" x14ac:dyDescent="0.15">
      <c r="A54" s="206"/>
      <c r="B54" s="194"/>
      <c r="C54" s="106" t="s">
        <v>131</v>
      </c>
      <c r="D54" s="203"/>
      <c r="E54" s="203"/>
      <c r="F54" s="203"/>
      <c r="G54" s="101">
        <f>(94.8*0.75)</f>
        <v>71.099999999999994</v>
      </c>
      <c r="H54" s="106" t="s">
        <v>390</v>
      </c>
      <c r="I54" s="197"/>
      <c r="J54" s="103"/>
      <c r="K54" s="118"/>
      <c r="L54" s="192">
        <v>29</v>
      </c>
      <c r="M54" s="205" t="s">
        <v>361</v>
      </c>
      <c r="N54" s="94" t="s">
        <v>20</v>
      </c>
      <c r="O54" s="195" t="s">
        <v>396</v>
      </c>
      <c r="P54" s="195" t="s">
        <v>397</v>
      </c>
      <c r="Q54" s="195" t="s">
        <v>398</v>
      </c>
      <c r="R54" s="99">
        <f>(578*0.75)</f>
        <v>433.5</v>
      </c>
      <c r="S54" s="96" t="s">
        <v>388</v>
      </c>
      <c r="T54" s="196" t="s">
        <v>329</v>
      </c>
      <c r="U54" s="97" t="s">
        <v>62</v>
      </c>
    </row>
    <row r="55" spans="1:21" ht="12.75" customHeight="1" x14ac:dyDescent="0.15">
      <c r="A55" s="206"/>
      <c r="B55" s="194"/>
      <c r="C55" s="107"/>
      <c r="D55" s="204"/>
      <c r="E55" s="204"/>
      <c r="F55" s="204"/>
      <c r="G55" s="108">
        <f>(1.7*0.75)</f>
        <v>1.2749999999999999</v>
      </c>
      <c r="H55" s="107" t="s">
        <v>390</v>
      </c>
      <c r="I55" s="198"/>
      <c r="J55" s="110"/>
      <c r="K55" s="118"/>
      <c r="L55" s="192"/>
      <c r="M55" s="205"/>
      <c r="N55" s="100" t="s">
        <v>37</v>
      </c>
      <c r="O55" s="215"/>
      <c r="P55" s="215"/>
      <c r="Q55" s="215"/>
      <c r="R55" s="101">
        <f>(19.8*0.75)</f>
        <v>14.850000000000001</v>
      </c>
      <c r="S55" s="106" t="s">
        <v>390</v>
      </c>
      <c r="T55" s="197"/>
      <c r="U55" s="103" t="s">
        <v>399</v>
      </c>
    </row>
    <row r="56" spans="1:21" ht="12.75" customHeight="1" x14ac:dyDescent="0.15">
      <c r="A56" s="199" t="s">
        <v>400</v>
      </c>
      <c r="B56" s="201" t="s">
        <v>318</v>
      </c>
      <c r="C56" s="106" t="s">
        <v>401</v>
      </c>
      <c r="D56" s="202" t="s">
        <v>402</v>
      </c>
      <c r="E56" s="202" t="s">
        <v>403</v>
      </c>
      <c r="F56" s="202" t="s">
        <v>404</v>
      </c>
      <c r="G56" s="99">
        <f>(614*0.75)</f>
        <v>460.5</v>
      </c>
      <c r="H56" s="96" t="s">
        <v>388</v>
      </c>
      <c r="I56" s="196" t="s">
        <v>405</v>
      </c>
      <c r="J56" s="97" t="s">
        <v>62</v>
      </c>
      <c r="K56" s="118"/>
      <c r="L56" s="192"/>
      <c r="M56" s="205"/>
      <c r="N56" s="106" t="s">
        <v>260</v>
      </c>
      <c r="O56" s="215"/>
      <c r="P56" s="215"/>
      <c r="Q56" s="215"/>
      <c r="R56" s="101">
        <f>(19.9*0.75)</f>
        <v>14.924999999999999</v>
      </c>
      <c r="S56" s="106" t="s">
        <v>390</v>
      </c>
      <c r="T56" s="197"/>
      <c r="U56" s="103" t="s">
        <v>406</v>
      </c>
    </row>
    <row r="57" spans="1:21" ht="12.75" customHeight="1" x14ac:dyDescent="0.15">
      <c r="A57" s="200"/>
      <c r="B57" s="201"/>
      <c r="C57" s="100" t="s">
        <v>407</v>
      </c>
      <c r="D57" s="203"/>
      <c r="E57" s="203"/>
      <c r="F57" s="203"/>
      <c r="G57" s="101">
        <f>(20*0.75)</f>
        <v>15</v>
      </c>
      <c r="H57" s="106" t="s">
        <v>390</v>
      </c>
      <c r="I57" s="197"/>
      <c r="J57" s="103" t="s">
        <v>408</v>
      </c>
      <c r="K57" s="98"/>
      <c r="L57" s="192"/>
      <c r="M57" s="205"/>
      <c r="N57" s="106" t="s">
        <v>52</v>
      </c>
      <c r="O57" s="215"/>
      <c r="P57" s="215"/>
      <c r="Q57" s="215"/>
      <c r="R57" s="101">
        <f>(77.7*0.75)</f>
        <v>58.275000000000006</v>
      </c>
      <c r="S57" s="106" t="s">
        <v>390</v>
      </c>
      <c r="T57" s="197"/>
      <c r="U57" s="103"/>
    </row>
    <row r="58" spans="1:21" ht="12.75" customHeight="1" x14ac:dyDescent="0.15">
      <c r="A58" s="200"/>
      <c r="B58" s="201"/>
      <c r="C58" s="106" t="s">
        <v>52</v>
      </c>
      <c r="D58" s="203"/>
      <c r="E58" s="203"/>
      <c r="F58" s="203"/>
      <c r="G58" s="101">
        <f>(17.7*0.75)</f>
        <v>13.274999999999999</v>
      </c>
      <c r="H58" s="106" t="s">
        <v>390</v>
      </c>
      <c r="I58" s="197"/>
      <c r="J58" s="103"/>
      <c r="K58" s="118"/>
      <c r="L58" s="192"/>
      <c r="M58" s="205"/>
      <c r="N58" s="107" t="s">
        <v>189</v>
      </c>
      <c r="O58" s="215"/>
      <c r="P58" s="215"/>
      <c r="Q58" s="215"/>
      <c r="R58" s="108">
        <f>(1.4*0.75)</f>
        <v>1.0499999999999998</v>
      </c>
      <c r="S58" s="107" t="s">
        <v>390</v>
      </c>
      <c r="T58" s="198"/>
      <c r="U58" s="110"/>
    </row>
    <row r="59" spans="1:21" ht="12.75" customHeight="1" x14ac:dyDescent="0.15">
      <c r="A59" s="200"/>
      <c r="B59" s="201"/>
      <c r="C59" s="106" t="s">
        <v>58</v>
      </c>
      <c r="D59" s="203"/>
      <c r="E59" s="203"/>
      <c r="F59" s="203"/>
      <c r="G59" s="101">
        <f>(91*0.75)</f>
        <v>68.25</v>
      </c>
      <c r="H59" s="106" t="s">
        <v>390</v>
      </c>
      <c r="I59" s="197"/>
      <c r="J59" s="103"/>
      <c r="K59" s="118"/>
      <c r="L59" s="210" t="s">
        <v>409</v>
      </c>
      <c r="M59" s="210"/>
      <c r="N59" s="210"/>
      <c r="O59" s="210"/>
      <c r="P59" s="210"/>
      <c r="Q59" s="210"/>
      <c r="R59" s="210"/>
      <c r="S59" s="210"/>
      <c r="T59" s="210"/>
      <c r="U59" s="210"/>
    </row>
    <row r="60" spans="1:21" ht="12.75" customHeight="1" x14ac:dyDescent="0.15">
      <c r="A60" s="200"/>
      <c r="B60" s="201"/>
      <c r="C60" s="107"/>
      <c r="D60" s="204"/>
      <c r="E60" s="204"/>
      <c r="F60" s="204"/>
      <c r="G60" s="108">
        <f>(1.8*0.75)</f>
        <v>1.35</v>
      </c>
      <c r="H60" s="107" t="s">
        <v>390</v>
      </c>
      <c r="I60" s="198"/>
      <c r="J60" s="110" t="s">
        <v>410</v>
      </c>
      <c r="K60" s="118"/>
      <c r="L60" s="132" t="s">
        <v>411</v>
      </c>
      <c r="M60" s="133"/>
      <c r="N60" s="134"/>
      <c r="O60" s="135"/>
      <c r="P60" s="135"/>
      <c r="Q60" s="135"/>
      <c r="R60" s="136"/>
      <c r="S60" s="134"/>
      <c r="T60" s="137"/>
      <c r="U60" s="138"/>
    </row>
    <row r="61" spans="1:21" ht="12.75" customHeight="1" x14ac:dyDescent="0.15">
      <c r="A61" s="205" t="s">
        <v>412</v>
      </c>
      <c r="B61" s="205"/>
      <c r="C61" s="139" t="s">
        <v>413</v>
      </c>
      <c r="D61" s="211" t="s">
        <v>414</v>
      </c>
      <c r="E61" s="212"/>
      <c r="F61" s="212"/>
      <c r="G61" s="212"/>
      <c r="H61" s="212"/>
      <c r="I61" s="213"/>
      <c r="K61" s="118"/>
      <c r="L61" s="140" t="s">
        <v>415</v>
      </c>
      <c r="M61" s="133"/>
      <c r="N61" s="134"/>
      <c r="O61" s="135"/>
      <c r="P61" s="135"/>
      <c r="Q61" s="135"/>
      <c r="R61" s="136"/>
      <c r="S61" s="134"/>
      <c r="T61" s="137"/>
      <c r="U61" s="138"/>
    </row>
    <row r="62" spans="1:21" ht="12.75" customHeight="1" x14ac:dyDescent="0.15">
      <c r="A62" s="205"/>
      <c r="B62" s="205"/>
      <c r="C62" s="139" t="s">
        <v>416</v>
      </c>
      <c r="D62" s="141" t="s">
        <v>417</v>
      </c>
      <c r="E62" s="141" t="s">
        <v>418</v>
      </c>
      <c r="F62" s="141" t="s">
        <v>419</v>
      </c>
      <c r="G62" s="205" t="s">
        <v>420</v>
      </c>
      <c r="H62" s="205"/>
      <c r="I62" s="142" t="s">
        <v>421</v>
      </c>
      <c r="K62" s="98"/>
      <c r="L62" s="140" t="s">
        <v>422</v>
      </c>
      <c r="M62" s="133"/>
      <c r="N62" s="134"/>
      <c r="O62" s="135"/>
      <c r="P62" s="135"/>
      <c r="Q62" s="135"/>
      <c r="R62" s="136"/>
      <c r="S62" s="134"/>
      <c r="T62" s="137"/>
      <c r="U62" s="138"/>
    </row>
    <row r="63" spans="1:21" ht="12.75" customHeight="1" x14ac:dyDescent="0.15">
      <c r="A63" s="143" t="s">
        <v>423</v>
      </c>
      <c r="B63" s="144" t="s">
        <v>424</v>
      </c>
      <c r="C63" s="139" t="s">
        <v>425</v>
      </c>
      <c r="D63" s="145">
        <f>17833/30</f>
        <v>594.43333333333328</v>
      </c>
      <c r="E63" s="146">
        <f>655.500000000001/30</f>
        <v>21.850000000000033</v>
      </c>
      <c r="F63" s="146">
        <f>539.700000000001/30</f>
        <v>17.99000000000003</v>
      </c>
      <c r="G63" s="214">
        <f>2518.4/30</f>
        <v>83.946666666666673</v>
      </c>
      <c r="H63" s="214"/>
      <c r="I63" s="147">
        <f>48.0000000000002/30</f>
        <v>1.6000000000000065</v>
      </c>
      <c r="K63" s="118"/>
      <c r="L63" s="98" t="s">
        <v>426</v>
      </c>
      <c r="M63" s="133"/>
      <c r="N63" s="134"/>
      <c r="O63" s="135"/>
      <c r="P63" s="135"/>
      <c r="Q63" s="135"/>
      <c r="R63" s="136"/>
      <c r="S63" s="134"/>
      <c r="T63" s="137"/>
      <c r="U63" s="138"/>
    </row>
    <row r="64" spans="1:21" ht="12.75" customHeight="1" x14ac:dyDescent="0.15">
      <c r="A64" s="143" t="s">
        <v>427</v>
      </c>
      <c r="B64" s="144" t="s">
        <v>424</v>
      </c>
      <c r="C64" s="139" t="s">
        <v>428</v>
      </c>
      <c r="D64" s="145">
        <f>(17833*0.75)/30</f>
        <v>445.82499999999999</v>
      </c>
      <c r="E64" s="146">
        <f>(655.500000000001*0.75)/30</f>
        <v>16.387500000000028</v>
      </c>
      <c r="F64" s="146">
        <f>(539.700000000001*0.75)/30</f>
        <v>13.492500000000025</v>
      </c>
      <c r="G64" s="214">
        <f>(2518.4*0.75)/30</f>
        <v>62.960000000000008</v>
      </c>
      <c r="H64" s="214"/>
      <c r="I64" s="147">
        <f>(48.0000000000002*0.75)/30</f>
        <v>1.2000000000000051</v>
      </c>
      <c r="K64" s="118"/>
      <c r="L64" s="98" t="s">
        <v>429</v>
      </c>
    </row>
    <row r="65" spans="1:21" ht="12.75" customHeight="1" x14ac:dyDescent="0.15">
      <c r="A65" s="148"/>
      <c r="B65" s="149"/>
      <c r="C65" s="150"/>
      <c r="D65" s="151"/>
      <c r="E65" s="152"/>
      <c r="F65" s="152"/>
      <c r="G65" s="153"/>
      <c r="I65" s="152"/>
      <c r="J65" s="153"/>
      <c r="K65" s="118"/>
      <c r="L65" s="98" t="s">
        <v>430</v>
      </c>
      <c r="M65" s="154"/>
      <c r="N65" s="154"/>
      <c r="O65" s="154"/>
      <c r="P65" s="154"/>
      <c r="Q65" s="154"/>
      <c r="R65" s="90"/>
      <c r="U65" s="154"/>
    </row>
    <row r="66" spans="1:21" ht="12.75" customHeight="1" x14ac:dyDescent="0.15">
      <c r="A66" s="155"/>
      <c r="K66" s="118"/>
      <c r="L66" s="98" t="s">
        <v>431</v>
      </c>
      <c r="M66" s="156"/>
      <c r="N66" s="133"/>
      <c r="O66" s="157"/>
      <c r="P66" s="157"/>
      <c r="Q66" s="157"/>
      <c r="R66" s="90"/>
      <c r="U66" s="91"/>
    </row>
    <row r="67" spans="1:21" ht="12.75" customHeight="1" x14ac:dyDescent="0.15">
      <c r="A67" s="155"/>
      <c r="K67" s="98"/>
      <c r="L67" s="155" t="s">
        <v>432</v>
      </c>
      <c r="M67" s="156"/>
      <c r="N67" s="133"/>
      <c r="O67" s="157"/>
      <c r="P67" s="157"/>
      <c r="Q67" s="157"/>
      <c r="U67" s="157"/>
    </row>
    <row r="68" spans="1:21" ht="12.75" customHeight="1" x14ac:dyDescent="0.15">
      <c r="K68" s="118"/>
      <c r="M68" s="158"/>
      <c r="N68" s="158"/>
      <c r="O68" s="158"/>
      <c r="P68" s="158"/>
      <c r="Q68" s="158"/>
      <c r="U68" s="158"/>
    </row>
    <row r="69" spans="1:21" ht="12.75" customHeight="1" x14ac:dyDescent="0.15">
      <c r="K69" s="118"/>
      <c r="M69" s="158"/>
      <c r="N69" s="158"/>
      <c r="O69" s="158"/>
      <c r="P69" s="158"/>
      <c r="Q69" s="158"/>
      <c r="U69" s="158"/>
    </row>
    <row r="70" spans="1:21" ht="12.75" customHeight="1" x14ac:dyDescent="0.15">
      <c r="K70" s="118"/>
      <c r="M70" s="104"/>
      <c r="N70" s="118"/>
      <c r="O70" s="159"/>
      <c r="P70" s="159"/>
      <c r="Q70" s="159"/>
      <c r="U70" s="160"/>
    </row>
    <row r="71" spans="1:21" ht="12.75" customHeight="1" x14ac:dyDescent="0.15">
      <c r="K71" s="118"/>
      <c r="M71" s="118"/>
      <c r="N71" s="118"/>
      <c r="O71" s="118"/>
      <c r="P71" s="118"/>
      <c r="Q71" s="118"/>
      <c r="U71" s="118"/>
    </row>
    <row r="72" spans="1:21" ht="12.75" customHeight="1" x14ac:dyDescent="0.15">
      <c r="K72" s="98"/>
    </row>
    <row r="73" spans="1:21" ht="12.75" customHeight="1" x14ac:dyDescent="0.15">
      <c r="K73" s="118"/>
    </row>
    <row r="74" spans="1:21" ht="12.75" customHeight="1" x14ac:dyDescent="0.15">
      <c r="K74" s="118"/>
    </row>
    <row r="75" spans="1:21" ht="12.75" customHeight="1" x14ac:dyDescent="0.15">
      <c r="K75" s="118"/>
      <c r="P75" s="91"/>
    </row>
    <row r="76" spans="1:21" ht="12.75" customHeight="1" x14ac:dyDescent="0.15">
      <c r="K76" s="118"/>
      <c r="P76" s="91"/>
    </row>
    <row r="77" spans="1:21" ht="12.75" customHeight="1" x14ac:dyDescent="0.15">
      <c r="K77" s="98"/>
      <c r="P77" s="91"/>
    </row>
    <row r="78" spans="1:21" ht="12.75" customHeight="1" x14ac:dyDescent="0.15">
      <c r="K78" s="118"/>
      <c r="P78" s="91"/>
    </row>
    <row r="79" spans="1:21" ht="12.75" customHeight="1" x14ac:dyDescent="0.15">
      <c r="K79" s="118"/>
      <c r="P79" s="91"/>
    </row>
    <row r="80" spans="1:21" ht="12.75" customHeight="1" x14ac:dyDescent="0.15">
      <c r="K80" s="118"/>
      <c r="P80" s="91"/>
    </row>
    <row r="81" spans="11:11" ht="12.75" customHeight="1" x14ac:dyDescent="0.15">
      <c r="K81" s="118"/>
    </row>
    <row r="82" spans="11:11" ht="12.75" customHeight="1" x14ac:dyDescent="0.15">
      <c r="K82" s="118"/>
    </row>
    <row r="83" spans="11:11" ht="12.75" customHeight="1" x14ac:dyDescent="0.15">
      <c r="K83" s="118"/>
    </row>
    <row r="84" spans="11:11" ht="12.75" customHeight="1" x14ac:dyDescent="0.15">
      <c r="K84" s="118"/>
    </row>
    <row r="85" spans="11:11" ht="12.75" customHeight="1" x14ac:dyDescent="0.15">
      <c r="K85" s="118"/>
    </row>
    <row r="86" spans="11:11" ht="12.75" customHeight="1" x14ac:dyDescent="0.15">
      <c r="K86" s="118"/>
    </row>
    <row r="87" spans="11:11" ht="12.75" customHeight="1" x14ac:dyDescent="0.15">
      <c r="K87" s="118"/>
    </row>
    <row r="88" spans="11:11" ht="12.75" customHeight="1" x14ac:dyDescent="0.15"/>
    <row r="89" spans="11:11" ht="12.75" customHeight="1" x14ac:dyDescent="0.15"/>
    <row r="90" spans="11:11" ht="12.75" customHeight="1" x14ac:dyDescent="0.15"/>
  </sheetData>
  <mergeCells count="148">
    <mergeCell ref="L59:U59"/>
    <mergeCell ref="A61:B62"/>
    <mergeCell ref="D61:I61"/>
    <mergeCell ref="G62:H62"/>
    <mergeCell ref="G63:H63"/>
    <mergeCell ref="G64:H64"/>
    <mergeCell ref="A56:A60"/>
    <mergeCell ref="B56:B60"/>
    <mergeCell ref="D56:D60"/>
    <mergeCell ref="E56:E60"/>
    <mergeCell ref="F56:F60"/>
    <mergeCell ref="I56:I60"/>
    <mergeCell ref="L54:L58"/>
    <mergeCell ref="M54:M58"/>
    <mergeCell ref="O54:O58"/>
    <mergeCell ref="P54:P58"/>
    <mergeCell ref="Q54:Q58"/>
    <mergeCell ref="T54:T58"/>
    <mergeCell ref="A51:A55"/>
    <mergeCell ref="B51:B55"/>
    <mergeCell ref="D51:D55"/>
    <mergeCell ref="E51:E55"/>
    <mergeCell ref="F51:F55"/>
    <mergeCell ref="I51:I55"/>
    <mergeCell ref="L49:L53"/>
    <mergeCell ref="M49:M53"/>
    <mergeCell ref="O49:O53"/>
    <mergeCell ref="P49:P53"/>
    <mergeCell ref="Q49:Q53"/>
    <mergeCell ref="T49:T53"/>
    <mergeCell ref="A46:A50"/>
    <mergeCell ref="B46:B50"/>
    <mergeCell ref="D46:D50"/>
    <mergeCell ref="E46:E50"/>
    <mergeCell ref="F46:F50"/>
    <mergeCell ref="I46:I50"/>
    <mergeCell ref="L44:L48"/>
    <mergeCell ref="M44:M48"/>
    <mergeCell ref="O44:O48"/>
    <mergeCell ref="P44:P48"/>
    <mergeCell ref="Q44:Q48"/>
    <mergeCell ref="T44:T48"/>
    <mergeCell ref="A41:A45"/>
    <mergeCell ref="B41:B45"/>
    <mergeCell ref="D41:D45"/>
    <mergeCell ref="E41:E45"/>
    <mergeCell ref="F41:F45"/>
    <mergeCell ref="I41:I45"/>
    <mergeCell ref="L39:L43"/>
    <mergeCell ref="M39:M43"/>
    <mergeCell ref="O39:O43"/>
    <mergeCell ref="P39:P43"/>
    <mergeCell ref="Q39:Q43"/>
    <mergeCell ref="T39:T43"/>
    <mergeCell ref="A36:A40"/>
    <mergeCell ref="B36:B40"/>
    <mergeCell ref="D36:D40"/>
    <mergeCell ref="E36:E40"/>
    <mergeCell ref="F36:F40"/>
    <mergeCell ref="I36:I40"/>
    <mergeCell ref="L34:L38"/>
    <mergeCell ref="M34:M38"/>
    <mergeCell ref="O34:O38"/>
    <mergeCell ref="P34:P38"/>
    <mergeCell ref="Q34:Q38"/>
    <mergeCell ref="T34:T38"/>
    <mergeCell ref="A29:A33"/>
    <mergeCell ref="B29:B33"/>
    <mergeCell ref="D29:D33"/>
    <mergeCell ref="E29:E33"/>
    <mergeCell ref="F29:F33"/>
    <mergeCell ref="I29:I33"/>
    <mergeCell ref="L27:L31"/>
    <mergeCell ref="M27:M31"/>
    <mergeCell ref="O27:O31"/>
    <mergeCell ref="P27:P31"/>
    <mergeCell ref="Q27:Q31"/>
    <mergeCell ref="T27:T31"/>
    <mergeCell ref="A24:A28"/>
    <mergeCell ref="B24:B28"/>
    <mergeCell ref="D24:D28"/>
    <mergeCell ref="E24:E28"/>
    <mergeCell ref="F24:F28"/>
    <mergeCell ref="I24:I28"/>
    <mergeCell ref="L22:L26"/>
    <mergeCell ref="M22:M26"/>
    <mergeCell ref="O22:O26"/>
    <mergeCell ref="P22:P26"/>
    <mergeCell ref="Q22:Q26"/>
    <mergeCell ref="T22:T26"/>
    <mergeCell ref="A19:A23"/>
    <mergeCell ref="B19:B23"/>
    <mergeCell ref="D19:D23"/>
    <mergeCell ref="E19:E23"/>
    <mergeCell ref="F19:F23"/>
    <mergeCell ref="I19:I23"/>
    <mergeCell ref="L17:L21"/>
    <mergeCell ref="M17:M21"/>
    <mergeCell ref="O17:O21"/>
    <mergeCell ref="P17:P21"/>
    <mergeCell ref="Q17:Q21"/>
    <mergeCell ref="T17:T21"/>
    <mergeCell ref="A14:A18"/>
    <mergeCell ref="B14:B18"/>
    <mergeCell ref="D14:D18"/>
    <mergeCell ref="E14:E18"/>
    <mergeCell ref="F14:F18"/>
    <mergeCell ref="I14:I18"/>
    <mergeCell ref="L12:L16"/>
    <mergeCell ref="M12:M16"/>
    <mergeCell ref="O12:O16"/>
    <mergeCell ref="P12:P16"/>
    <mergeCell ref="Q12:Q16"/>
    <mergeCell ref="T12:T16"/>
    <mergeCell ref="L7:L11"/>
    <mergeCell ref="M7:M11"/>
    <mergeCell ref="O7:O11"/>
    <mergeCell ref="P7:P11"/>
    <mergeCell ref="Q7:Q11"/>
    <mergeCell ref="T7:T11"/>
    <mergeCell ref="A7:A11"/>
    <mergeCell ref="B7:B11"/>
    <mergeCell ref="D7:D11"/>
    <mergeCell ref="E7:E11"/>
    <mergeCell ref="F7:F11"/>
    <mergeCell ref="I7:I11"/>
    <mergeCell ref="O3:O6"/>
    <mergeCell ref="P3:P6"/>
    <mergeCell ref="Q3:Q6"/>
    <mergeCell ref="R3:S6"/>
    <mergeCell ref="T3:T6"/>
    <mergeCell ref="U3:U6"/>
    <mergeCell ref="M2:M6"/>
    <mergeCell ref="N2:N6"/>
    <mergeCell ref="O2:Q2"/>
    <mergeCell ref="R2:T2"/>
    <mergeCell ref="L2:L6"/>
    <mergeCell ref="D3:D6"/>
    <mergeCell ref="E3:E6"/>
    <mergeCell ref="F3:F6"/>
    <mergeCell ref="G3:H6"/>
    <mergeCell ref="I3:I6"/>
    <mergeCell ref="J3:J6"/>
    <mergeCell ref="A2:A6"/>
    <mergeCell ref="B2:B6"/>
    <mergeCell ref="C2:C6"/>
    <mergeCell ref="D2:F2"/>
    <mergeCell ref="G2:I2"/>
  </mergeCells>
  <phoneticPr fontId="19"/>
  <printOptions horizontalCentered="1" verticalCentered="1"/>
  <pageMargins left="0.39370078740157483" right="0.39370078740157483" top="0.78740157480314965" bottom="0.39370078740157483" header="0.19685039370078741" footer="0.19685039370078741"/>
  <pageSetup paperSize="9" scale="59" fitToHeight="0"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78.2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223</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36" customHeight="1" x14ac:dyDescent="0.15">
      <c r="A5" s="221" t="s">
        <v>61</v>
      </c>
      <c r="B5" s="87" t="s">
        <v>224</v>
      </c>
      <c r="C5" s="36" t="s">
        <v>104</v>
      </c>
      <c r="D5" s="37"/>
      <c r="E5" s="38">
        <v>10</v>
      </c>
      <c r="F5" s="39" t="s">
        <v>23</v>
      </c>
      <c r="G5" s="68" t="s">
        <v>35</v>
      </c>
      <c r="H5" s="88" t="s">
        <v>104</v>
      </c>
      <c r="I5" s="37"/>
      <c r="J5" s="39">
        <f>ROUNDUP(E5*0.75,2)</f>
        <v>7.5</v>
      </c>
      <c r="K5" s="39" t="s">
        <v>23</v>
      </c>
      <c r="L5" s="39" t="s">
        <v>35</v>
      </c>
      <c r="M5" s="76" t="e">
        <f>#REF!</f>
        <v>#REF!</v>
      </c>
      <c r="N5" s="64" t="s">
        <v>225</v>
      </c>
      <c r="O5" s="40" t="s">
        <v>20</v>
      </c>
      <c r="P5" s="37"/>
      <c r="Q5" s="41">
        <v>110</v>
      </c>
      <c r="R5" s="83">
        <f t="shared" ref="R5:R12" si="0">ROUNDUP(Q5*0.75,2)</f>
        <v>82.5</v>
      </c>
    </row>
    <row r="6" spans="1:19" ht="24.95" customHeight="1" x14ac:dyDescent="0.15">
      <c r="A6" s="222"/>
      <c r="B6" s="65"/>
      <c r="C6" s="42" t="s">
        <v>44</v>
      </c>
      <c r="D6" s="43"/>
      <c r="E6" s="44">
        <v>20</v>
      </c>
      <c r="F6" s="45" t="s">
        <v>23</v>
      </c>
      <c r="G6" s="69"/>
      <c r="H6" s="73" t="s">
        <v>44</v>
      </c>
      <c r="I6" s="43"/>
      <c r="J6" s="45">
        <f>ROUNDUP(E6*0.75,2)</f>
        <v>15</v>
      </c>
      <c r="K6" s="45" t="s">
        <v>23</v>
      </c>
      <c r="L6" s="45"/>
      <c r="M6" s="77" t="e">
        <f>ROUND(#REF!+(#REF!*6/100),2)</f>
        <v>#REF!</v>
      </c>
      <c r="N6" s="65" t="s">
        <v>226</v>
      </c>
      <c r="O6" s="46" t="s">
        <v>103</v>
      </c>
      <c r="P6" s="43" t="s">
        <v>63</v>
      </c>
      <c r="Q6" s="47">
        <v>1</v>
      </c>
      <c r="R6" s="85">
        <f t="shared" si="0"/>
        <v>0.75</v>
      </c>
    </row>
    <row r="7" spans="1:19" ht="24.95" customHeight="1" x14ac:dyDescent="0.15">
      <c r="A7" s="222"/>
      <c r="B7" s="65"/>
      <c r="C7" s="42" t="s">
        <v>54</v>
      </c>
      <c r="D7" s="43" t="s">
        <v>55</v>
      </c>
      <c r="E7" s="44">
        <v>1</v>
      </c>
      <c r="F7" s="45" t="s">
        <v>56</v>
      </c>
      <c r="G7" s="69"/>
      <c r="H7" s="73" t="s">
        <v>54</v>
      </c>
      <c r="I7" s="43" t="s">
        <v>55</v>
      </c>
      <c r="J7" s="45">
        <f>ROUNDUP(E7*0.75,2)</f>
        <v>0.75</v>
      </c>
      <c r="K7" s="45" t="s">
        <v>56</v>
      </c>
      <c r="L7" s="45"/>
      <c r="M7" s="77" t="e">
        <f>#REF!</f>
        <v>#REF!</v>
      </c>
      <c r="N7" s="65" t="s">
        <v>227</v>
      </c>
      <c r="O7" s="46" t="s">
        <v>57</v>
      </c>
      <c r="P7" s="43"/>
      <c r="Q7" s="47">
        <v>0.1</v>
      </c>
      <c r="R7" s="85">
        <f t="shared" si="0"/>
        <v>0.08</v>
      </c>
    </row>
    <row r="8" spans="1:19" ht="24.95" customHeight="1" x14ac:dyDescent="0.15">
      <c r="A8" s="222"/>
      <c r="B8" s="65"/>
      <c r="C8" s="42" t="s">
        <v>107</v>
      </c>
      <c r="D8" s="43"/>
      <c r="E8" s="44">
        <v>5</v>
      </c>
      <c r="F8" s="45" t="s">
        <v>23</v>
      </c>
      <c r="G8" s="69" t="s">
        <v>31</v>
      </c>
      <c r="H8" s="73" t="s">
        <v>107</v>
      </c>
      <c r="I8" s="43"/>
      <c r="J8" s="45">
        <f>ROUNDUP(E8*0.75,2)</f>
        <v>3.75</v>
      </c>
      <c r="K8" s="45" t="s">
        <v>23</v>
      </c>
      <c r="L8" s="45" t="s">
        <v>31</v>
      </c>
      <c r="M8" s="77" t="e">
        <f>#REF!</f>
        <v>#REF!</v>
      </c>
      <c r="N8" s="65" t="s">
        <v>228</v>
      </c>
      <c r="O8" s="46" t="s">
        <v>105</v>
      </c>
      <c r="P8" s="43"/>
      <c r="Q8" s="47">
        <v>8</v>
      </c>
      <c r="R8" s="85">
        <f t="shared" si="0"/>
        <v>6</v>
      </c>
    </row>
    <row r="9" spans="1:19" ht="24.95" customHeight="1" x14ac:dyDescent="0.15">
      <c r="A9" s="222"/>
      <c r="B9" s="65"/>
      <c r="C9" s="42"/>
      <c r="D9" s="43"/>
      <c r="E9" s="44"/>
      <c r="F9" s="45"/>
      <c r="G9" s="69"/>
      <c r="H9" s="73"/>
      <c r="I9" s="43"/>
      <c r="J9" s="45"/>
      <c r="K9" s="45"/>
      <c r="L9" s="45"/>
      <c r="M9" s="77"/>
      <c r="N9" s="65" t="s">
        <v>229</v>
      </c>
      <c r="O9" s="46" t="s">
        <v>57</v>
      </c>
      <c r="P9" s="43"/>
      <c r="Q9" s="47">
        <v>0.1</v>
      </c>
      <c r="R9" s="85">
        <f t="shared" si="0"/>
        <v>0.08</v>
      </c>
    </row>
    <row r="10" spans="1:19" ht="24.95" customHeight="1" x14ac:dyDescent="0.15">
      <c r="A10" s="222"/>
      <c r="B10" s="65"/>
      <c r="C10" s="42"/>
      <c r="D10" s="43"/>
      <c r="E10" s="44"/>
      <c r="F10" s="45"/>
      <c r="G10" s="69"/>
      <c r="H10" s="73"/>
      <c r="I10" s="43"/>
      <c r="J10" s="45"/>
      <c r="K10" s="45"/>
      <c r="L10" s="45"/>
      <c r="M10" s="77"/>
      <c r="N10" s="65" t="s">
        <v>230</v>
      </c>
      <c r="O10" s="46" t="s">
        <v>79</v>
      </c>
      <c r="P10" s="43"/>
      <c r="Q10" s="47">
        <v>0.01</v>
      </c>
      <c r="R10" s="85">
        <f t="shared" si="0"/>
        <v>0.01</v>
      </c>
    </row>
    <row r="11" spans="1:19" ht="24.95" customHeight="1" x14ac:dyDescent="0.15">
      <c r="A11" s="222"/>
      <c r="B11" s="65"/>
      <c r="C11" s="42"/>
      <c r="D11" s="43"/>
      <c r="E11" s="44"/>
      <c r="F11" s="45"/>
      <c r="G11" s="69"/>
      <c r="H11" s="73"/>
      <c r="I11" s="43"/>
      <c r="J11" s="45"/>
      <c r="K11" s="45"/>
      <c r="L11" s="45"/>
      <c r="M11" s="77"/>
      <c r="N11" s="65" t="s">
        <v>40</v>
      </c>
      <c r="O11" s="46" t="s">
        <v>47</v>
      </c>
      <c r="P11" s="43"/>
      <c r="Q11" s="47">
        <v>1</v>
      </c>
      <c r="R11" s="85">
        <f t="shared" si="0"/>
        <v>0.75</v>
      </c>
    </row>
    <row r="12" spans="1:19" ht="24.95" customHeight="1" x14ac:dyDescent="0.15">
      <c r="A12" s="222"/>
      <c r="B12" s="65"/>
      <c r="C12" s="42"/>
      <c r="D12" s="43"/>
      <c r="E12" s="44"/>
      <c r="F12" s="45"/>
      <c r="G12" s="69"/>
      <c r="H12" s="73"/>
      <c r="I12" s="43"/>
      <c r="J12" s="45"/>
      <c r="K12" s="45"/>
      <c r="L12" s="45"/>
      <c r="M12" s="77"/>
      <c r="N12" s="65"/>
      <c r="O12" s="46" t="s">
        <v>105</v>
      </c>
      <c r="P12" s="43"/>
      <c r="Q12" s="47">
        <v>3</v>
      </c>
      <c r="R12" s="85">
        <f t="shared" si="0"/>
        <v>2.25</v>
      </c>
    </row>
    <row r="13" spans="1:19" ht="24.95" customHeight="1" x14ac:dyDescent="0.15">
      <c r="A13" s="222"/>
      <c r="B13" s="66"/>
      <c r="C13" s="49"/>
      <c r="D13" s="50"/>
      <c r="E13" s="51"/>
      <c r="F13" s="52"/>
      <c r="G13" s="70"/>
      <c r="H13" s="74"/>
      <c r="I13" s="50"/>
      <c r="J13" s="52"/>
      <c r="K13" s="52"/>
      <c r="L13" s="52"/>
      <c r="M13" s="78"/>
      <c r="N13" s="66"/>
      <c r="O13" s="53"/>
      <c r="P13" s="50"/>
      <c r="Q13" s="54"/>
      <c r="R13" s="84"/>
    </row>
    <row r="14" spans="1:19" ht="24.95" customHeight="1" x14ac:dyDescent="0.15">
      <c r="A14" s="222"/>
      <c r="B14" s="65" t="s">
        <v>231</v>
      </c>
      <c r="C14" s="42" t="s">
        <v>235</v>
      </c>
      <c r="D14" s="43" t="s">
        <v>29</v>
      </c>
      <c r="E14" s="44">
        <v>10</v>
      </c>
      <c r="F14" s="45" t="s">
        <v>23</v>
      </c>
      <c r="G14" s="69" t="s">
        <v>236</v>
      </c>
      <c r="H14" s="73" t="s">
        <v>235</v>
      </c>
      <c r="I14" s="43" t="s">
        <v>29</v>
      </c>
      <c r="J14" s="45">
        <f>ROUNDUP(E14*0.75,2)</f>
        <v>7.5</v>
      </c>
      <c r="K14" s="45" t="s">
        <v>23</v>
      </c>
      <c r="L14" s="45" t="s">
        <v>236</v>
      </c>
      <c r="M14" s="77" t="e">
        <f>#REF!</f>
        <v>#REF!</v>
      </c>
      <c r="N14" s="65" t="s">
        <v>232</v>
      </c>
      <c r="O14" s="46" t="s">
        <v>26</v>
      </c>
      <c r="P14" s="43"/>
      <c r="Q14" s="47">
        <v>0.3</v>
      </c>
      <c r="R14" s="85">
        <f>ROUNDUP(Q14*0.75,2)</f>
        <v>0.23</v>
      </c>
    </row>
    <row r="15" spans="1:19" ht="24.95" customHeight="1" x14ac:dyDescent="0.15">
      <c r="A15" s="222"/>
      <c r="B15" s="65"/>
      <c r="C15" s="42" t="s">
        <v>110</v>
      </c>
      <c r="D15" s="43"/>
      <c r="E15" s="44">
        <v>10</v>
      </c>
      <c r="F15" s="45" t="s">
        <v>23</v>
      </c>
      <c r="G15" s="69"/>
      <c r="H15" s="73" t="s">
        <v>110</v>
      </c>
      <c r="I15" s="43"/>
      <c r="J15" s="45">
        <f>ROUNDUP(E15*0.75,2)</f>
        <v>7.5</v>
      </c>
      <c r="K15" s="45" t="s">
        <v>23</v>
      </c>
      <c r="L15" s="45"/>
      <c r="M15" s="77" t="e">
        <f>ROUND(#REF!+(#REF!*2/100),2)</f>
        <v>#REF!</v>
      </c>
      <c r="N15" s="65" t="s">
        <v>233</v>
      </c>
      <c r="O15" s="46" t="s">
        <v>57</v>
      </c>
      <c r="P15" s="43"/>
      <c r="Q15" s="47">
        <v>0.1</v>
      </c>
      <c r="R15" s="85">
        <f>ROUNDUP(Q15*0.75,2)</f>
        <v>0.08</v>
      </c>
    </row>
    <row r="16" spans="1:19" ht="24.95" customHeight="1" x14ac:dyDescent="0.15">
      <c r="A16" s="222"/>
      <c r="B16" s="65"/>
      <c r="C16" s="42" t="s">
        <v>69</v>
      </c>
      <c r="D16" s="43"/>
      <c r="E16" s="44">
        <v>5</v>
      </c>
      <c r="F16" s="45" t="s">
        <v>23</v>
      </c>
      <c r="G16" s="69"/>
      <c r="H16" s="73" t="s">
        <v>69</v>
      </c>
      <c r="I16" s="43"/>
      <c r="J16" s="45">
        <f>ROUNDUP(E16*0.75,2)</f>
        <v>3.75</v>
      </c>
      <c r="K16" s="45" t="s">
        <v>23</v>
      </c>
      <c r="L16" s="45"/>
      <c r="M16" s="77" t="e">
        <f>ROUND(#REF!+(#REF!*3/100),2)</f>
        <v>#REF!</v>
      </c>
      <c r="N16" s="65" t="s">
        <v>234</v>
      </c>
      <c r="O16" s="46" t="s">
        <v>91</v>
      </c>
      <c r="P16" s="43" t="s">
        <v>92</v>
      </c>
      <c r="Q16" s="47">
        <v>4</v>
      </c>
      <c r="R16" s="85">
        <f>ROUNDUP(Q16*0.75,2)</f>
        <v>3</v>
      </c>
    </row>
    <row r="17" spans="1:18" ht="24.95" customHeight="1" x14ac:dyDescent="0.15">
      <c r="A17" s="222"/>
      <c r="B17" s="65"/>
      <c r="C17" s="42"/>
      <c r="D17" s="43"/>
      <c r="E17" s="44"/>
      <c r="F17" s="45"/>
      <c r="G17" s="69"/>
      <c r="H17" s="73"/>
      <c r="I17" s="43"/>
      <c r="J17" s="45"/>
      <c r="K17" s="45"/>
      <c r="L17" s="45"/>
      <c r="M17" s="77"/>
      <c r="N17" s="65" t="s">
        <v>40</v>
      </c>
      <c r="O17" s="46"/>
      <c r="P17" s="43"/>
      <c r="Q17" s="47"/>
      <c r="R17" s="85"/>
    </row>
    <row r="18" spans="1:18" ht="24.95" customHeight="1" x14ac:dyDescent="0.15">
      <c r="A18" s="222"/>
      <c r="B18" s="66"/>
      <c r="C18" s="49"/>
      <c r="D18" s="50"/>
      <c r="E18" s="51"/>
      <c r="F18" s="52"/>
      <c r="G18" s="70"/>
      <c r="H18" s="74"/>
      <c r="I18" s="50"/>
      <c r="J18" s="52"/>
      <c r="K18" s="52"/>
      <c r="L18" s="52"/>
      <c r="M18" s="78"/>
      <c r="N18" s="66"/>
      <c r="O18" s="53"/>
      <c r="P18" s="50"/>
      <c r="Q18" s="54"/>
      <c r="R18" s="84"/>
    </row>
    <row r="19" spans="1:18" ht="24.95" customHeight="1" x14ac:dyDescent="0.15">
      <c r="A19" s="222"/>
      <c r="B19" s="65" t="s">
        <v>112</v>
      </c>
      <c r="C19" s="42" t="s">
        <v>77</v>
      </c>
      <c r="D19" s="43"/>
      <c r="E19" s="44">
        <v>20</v>
      </c>
      <c r="F19" s="45" t="s">
        <v>23</v>
      </c>
      <c r="G19" s="69"/>
      <c r="H19" s="73" t="s">
        <v>77</v>
      </c>
      <c r="I19" s="43"/>
      <c r="J19" s="45">
        <f>ROUNDUP(E19*0.75,2)</f>
        <v>15</v>
      </c>
      <c r="K19" s="45" t="s">
        <v>23</v>
      </c>
      <c r="L19" s="45"/>
      <c r="M19" s="77" t="e">
        <f>ROUND(#REF!+(#REF!*6/100),2)</f>
        <v>#REF!</v>
      </c>
      <c r="N19" s="65" t="s">
        <v>19</v>
      </c>
      <c r="O19" s="46" t="s">
        <v>73</v>
      </c>
      <c r="P19" s="43"/>
      <c r="Q19" s="47">
        <v>100</v>
      </c>
      <c r="R19" s="85">
        <f>ROUNDUP(Q19*0.75,2)</f>
        <v>75</v>
      </c>
    </row>
    <row r="20" spans="1:18" ht="24.95" customHeight="1" x14ac:dyDescent="0.15">
      <c r="A20" s="222"/>
      <c r="B20" s="65"/>
      <c r="C20" s="42" t="s">
        <v>178</v>
      </c>
      <c r="D20" s="43"/>
      <c r="E20" s="44">
        <v>10</v>
      </c>
      <c r="F20" s="45" t="s">
        <v>23</v>
      </c>
      <c r="G20" s="69"/>
      <c r="H20" s="73" t="s">
        <v>178</v>
      </c>
      <c r="I20" s="43"/>
      <c r="J20" s="45">
        <f>ROUNDUP(E20*0.75,2)</f>
        <v>7.5</v>
      </c>
      <c r="K20" s="45" t="s">
        <v>23</v>
      </c>
      <c r="L20" s="45"/>
      <c r="M20" s="77" t="e">
        <f>ROUND(#REF!+(#REF!*10/100),2)</f>
        <v>#REF!</v>
      </c>
      <c r="N20" s="65"/>
      <c r="O20" s="46" t="s">
        <v>114</v>
      </c>
      <c r="P20" s="43" t="s">
        <v>115</v>
      </c>
      <c r="Q20" s="47">
        <v>0.5</v>
      </c>
      <c r="R20" s="85">
        <f>ROUNDUP(Q20*0.75,2)</f>
        <v>0.38</v>
      </c>
    </row>
    <row r="21" spans="1:18" ht="24.95" customHeight="1" x14ac:dyDescent="0.15">
      <c r="A21" s="222"/>
      <c r="B21" s="65"/>
      <c r="C21" s="42"/>
      <c r="D21" s="43"/>
      <c r="E21" s="44"/>
      <c r="F21" s="45"/>
      <c r="G21" s="69"/>
      <c r="H21" s="73"/>
      <c r="I21" s="43"/>
      <c r="J21" s="45"/>
      <c r="K21" s="45"/>
      <c r="L21" s="45"/>
      <c r="M21" s="77"/>
      <c r="N21" s="65"/>
      <c r="O21" s="46" t="s">
        <v>57</v>
      </c>
      <c r="P21" s="43"/>
      <c r="Q21" s="47">
        <v>0.1</v>
      </c>
      <c r="R21" s="85">
        <f>ROUNDUP(Q21*0.75,2)</f>
        <v>0.08</v>
      </c>
    </row>
    <row r="22" spans="1:18" ht="24.95" customHeight="1" x14ac:dyDescent="0.15">
      <c r="A22" s="222"/>
      <c r="B22" s="66"/>
      <c r="C22" s="49"/>
      <c r="D22" s="50"/>
      <c r="E22" s="51"/>
      <c r="F22" s="52"/>
      <c r="G22" s="70"/>
      <c r="H22" s="74"/>
      <c r="I22" s="50"/>
      <c r="J22" s="52"/>
      <c r="K22" s="52"/>
      <c r="L22" s="52"/>
      <c r="M22" s="78"/>
      <c r="N22" s="66"/>
      <c r="O22" s="53"/>
      <c r="P22" s="50"/>
      <c r="Q22" s="54"/>
      <c r="R22" s="84"/>
    </row>
    <row r="23" spans="1:18" ht="24.95" customHeight="1" x14ac:dyDescent="0.15">
      <c r="A23" s="222"/>
      <c r="B23" s="65" t="s">
        <v>131</v>
      </c>
      <c r="C23" s="42" t="s">
        <v>132</v>
      </c>
      <c r="D23" s="43"/>
      <c r="E23" s="56">
        <v>0.16666666666666666</v>
      </c>
      <c r="F23" s="45" t="s">
        <v>56</v>
      </c>
      <c r="G23" s="69"/>
      <c r="H23" s="73" t="s">
        <v>132</v>
      </c>
      <c r="I23" s="43"/>
      <c r="J23" s="45">
        <f>ROUNDUP(E23*0.75,2)</f>
        <v>0.13</v>
      </c>
      <c r="K23" s="45" t="s">
        <v>56</v>
      </c>
      <c r="L23" s="45"/>
      <c r="M23" s="77" t="e">
        <f>#REF!</f>
        <v>#REF!</v>
      </c>
      <c r="N23" s="65" t="s">
        <v>59</v>
      </c>
      <c r="O23" s="46"/>
      <c r="P23" s="43"/>
      <c r="Q23" s="47"/>
      <c r="R23" s="85"/>
    </row>
    <row r="24" spans="1:18" ht="24.95" customHeight="1" thickBot="1" x14ac:dyDescent="0.2">
      <c r="A24" s="223"/>
      <c r="B24" s="67"/>
      <c r="C24" s="57"/>
      <c r="D24" s="58"/>
      <c r="E24" s="59"/>
      <c r="F24" s="60"/>
      <c r="G24" s="71"/>
      <c r="H24" s="75"/>
      <c r="I24" s="58"/>
      <c r="J24" s="60"/>
      <c r="K24" s="60"/>
      <c r="L24" s="60"/>
      <c r="M24" s="79"/>
      <c r="N24" s="67"/>
      <c r="O24" s="61"/>
      <c r="P24" s="58"/>
      <c r="Q24" s="62"/>
      <c r="R24" s="86"/>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4.37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3.2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x14ac:dyDescent="0.15">
      <c r="A1" s="1" t="s">
        <v>12</v>
      </c>
      <c r="B1" s="1"/>
      <c r="C1" s="2"/>
      <c r="D1" s="3"/>
      <c r="E1" s="2"/>
      <c r="F1" s="2"/>
      <c r="G1" s="2"/>
      <c r="H1" s="217"/>
      <c r="I1" s="217"/>
      <c r="J1" s="218"/>
      <c r="K1" s="218"/>
      <c r="L1" s="218"/>
      <c r="M1" s="218"/>
      <c r="N1" s="218"/>
      <c r="O1" s="2"/>
      <c r="P1" s="2"/>
      <c r="Q1" s="4"/>
      <c r="R1" s="4"/>
      <c r="S1" s="3"/>
    </row>
    <row r="2" spans="1:26" ht="36.75" customHeight="1" x14ac:dyDescent="0.15">
      <c r="A2" s="217" t="s">
        <v>0</v>
      </c>
      <c r="B2" s="217"/>
      <c r="C2" s="218"/>
      <c r="D2" s="218"/>
      <c r="E2" s="218"/>
      <c r="F2" s="218"/>
      <c r="G2" s="218"/>
      <c r="H2" s="218"/>
      <c r="I2" s="218"/>
      <c r="J2" s="218"/>
      <c r="K2" s="218"/>
      <c r="L2" s="218"/>
      <c r="M2" s="218"/>
      <c r="N2" s="218"/>
      <c r="O2" s="218"/>
      <c r="P2" s="218"/>
      <c r="Q2" s="218"/>
      <c r="R2" s="218"/>
      <c r="S2" s="3"/>
    </row>
    <row r="3" spans="1:26" ht="22.5" customHeight="1" x14ac:dyDescent="0.15">
      <c r="A3" s="5"/>
      <c r="B3" s="224" t="s">
        <v>297</v>
      </c>
      <c r="C3" s="224"/>
      <c r="D3" s="3"/>
      <c r="E3" s="6"/>
      <c r="F3" s="2"/>
      <c r="G3" s="2"/>
      <c r="H3" s="2"/>
      <c r="I3" s="3"/>
      <c r="J3" s="2"/>
      <c r="K3" s="7"/>
      <c r="L3" s="7"/>
      <c r="M3" s="8"/>
      <c r="N3" s="2"/>
      <c r="O3" s="3"/>
      <c r="P3"/>
      <c r="Q3"/>
      <c r="R3"/>
      <c r="S3"/>
      <c r="V3" s="3"/>
      <c r="W3" s="3"/>
      <c r="X3" s="3"/>
      <c r="Y3" s="3"/>
      <c r="Z3" s="3"/>
    </row>
    <row r="4" spans="1:26" ht="22.5" customHeight="1" x14ac:dyDescent="0.15">
      <c r="A4" s="5"/>
      <c r="B4" s="224"/>
      <c r="C4" s="224"/>
      <c r="D4" s="9"/>
      <c r="E4" s="6"/>
      <c r="F4" s="2"/>
      <c r="G4" s="2"/>
      <c r="H4" s="2"/>
      <c r="I4" s="9"/>
      <c r="J4" s="2"/>
      <c r="K4" s="7"/>
      <c r="L4" s="7"/>
      <c r="M4" s="8"/>
      <c r="N4" s="2"/>
      <c r="O4" s="3"/>
      <c r="P4"/>
      <c r="Q4"/>
      <c r="R4"/>
      <c r="S4"/>
      <c r="V4" s="3"/>
      <c r="W4" s="3"/>
      <c r="X4" s="3"/>
      <c r="Y4" s="3"/>
      <c r="Z4" s="3"/>
    </row>
    <row r="5" spans="1:26" ht="27.75" customHeight="1" thickBot="1" x14ac:dyDescent="0.3">
      <c r="A5" s="219" t="s">
        <v>237</v>
      </c>
      <c r="B5" s="220"/>
      <c r="C5" s="220"/>
      <c r="D5" s="220"/>
      <c r="E5" s="220"/>
      <c r="F5" s="220"/>
      <c r="G5" s="2"/>
      <c r="H5" s="2"/>
      <c r="I5" s="12"/>
      <c r="J5" s="2"/>
      <c r="K5" s="7"/>
      <c r="L5" s="7"/>
      <c r="M5" s="10"/>
      <c r="N5" s="2"/>
      <c r="O5" s="13"/>
      <c r="P5" s="12"/>
      <c r="Q5" s="14"/>
      <c r="R5" s="14"/>
      <c r="S5" s="11"/>
    </row>
    <row r="6" spans="1:26" customFormat="1" ht="42" customHeight="1" thickBot="1" x14ac:dyDescent="0.2">
      <c r="A6" s="15"/>
      <c r="B6" s="16" t="s">
        <v>1</v>
      </c>
      <c r="C6" s="17" t="s">
        <v>2</v>
      </c>
      <c r="D6" s="18" t="s">
        <v>306</v>
      </c>
      <c r="E6" s="34" t="s">
        <v>6</v>
      </c>
      <c r="F6" s="19" t="s">
        <v>4</v>
      </c>
      <c r="G6" s="17" t="s">
        <v>5</v>
      </c>
      <c r="H6" s="16" t="s">
        <v>2</v>
      </c>
      <c r="I6" s="18" t="s">
        <v>306</v>
      </c>
      <c r="J6" s="35" t="s">
        <v>3</v>
      </c>
      <c r="K6" s="19" t="s">
        <v>4</v>
      </c>
      <c r="L6" s="19" t="s">
        <v>5</v>
      </c>
      <c r="M6" s="21" t="s">
        <v>7</v>
      </c>
      <c r="N6" s="22" t="s">
        <v>8</v>
      </c>
      <c r="O6" s="19" t="s">
        <v>9</v>
      </c>
      <c r="P6" s="23" t="s">
        <v>306</v>
      </c>
      <c r="Q6" s="20" t="s">
        <v>11</v>
      </c>
      <c r="R6" s="24" t="s">
        <v>10</v>
      </c>
      <c r="S6" s="25"/>
    </row>
    <row r="7" spans="1:26" ht="20.100000000000001" customHeight="1" x14ac:dyDescent="0.15">
      <c r="A7" s="221" t="s">
        <v>61</v>
      </c>
      <c r="B7" s="64" t="s">
        <v>238</v>
      </c>
      <c r="C7" s="36" t="s">
        <v>129</v>
      </c>
      <c r="D7" s="37"/>
      <c r="E7" s="38">
        <v>10</v>
      </c>
      <c r="F7" s="39" t="s">
        <v>23</v>
      </c>
      <c r="G7" s="68" t="s">
        <v>130</v>
      </c>
      <c r="H7" s="72" t="s">
        <v>129</v>
      </c>
      <c r="I7" s="37"/>
      <c r="J7" s="39">
        <f>ROUNDUP(E7*0.75,2)</f>
        <v>7.5</v>
      </c>
      <c r="K7" s="39" t="s">
        <v>23</v>
      </c>
      <c r="L7" s="39" t="s">
        <v>130</v>
      </c>
      <c r="M7" s="76" t="e">
        <f>#REF!</f>
        <v>#REF!</v>
      </c>
      <c r="N7" s="64" t="s">
        <v>239</v>
      </c>
      <c r="O7" s="40" t="s">
        <v>20</v>
      </c>
      <c r="P7" s="37"/>
      <c r="Q7" s="41">
        <v>110</v>
      </c>
      <c r="R7" s="83">
        <f>ROUNDUP(Q7*0.75,2)</f>
        <v>82.5</v>
      </c>
    </row>
    <row r="8" spans="1:26" ht="20.100000000000001" customHeight="1" x14ac:dyDescent="0.15">
      <c r="A8" s="222"/>
      <c r="B8" s="65"/>
      <c r="C8" s="42" t="s">
        <v>110</v>
      </c>
      <c r="D8" s="43"/>
      <c r="E8" s="44">
        <v>10</v>
      </c>
      <c r="F8" s="45" t="s">
        <v>23</v>
      </c>
      <c r="G8" s="69"/>
      <c r="H8" s="73" t="s">
        <v>110</v>
      </c>
      <c r="I8" s="43"/>
      <c r="J8" s="45">
        <f>ROUNDUP(E8*0.75,2)</f>
        <v>7.5</v>
      </c>
      <c r="K8" s="45" t="s">
        <v>23</v>
      </c>
      <c r="L8" s="45"/>
      <c r="M8" s="77" t="e">
        <f>ROUND(#REF!+(#REF!*2/100),2)</f>
        <v>#REF!</v>
      </c>
      <c r="N8" s="65" t="s">
        <v>240</v>
      </c>
      <c r="O8" s="46" t="s">
        <v>111</v>
      </c>
      <c r="P8" s="43"/>
      <c r="Q8" s="47">
        <v>4</v>
      </c>
      <c r="R8" s="85">
        <f>ROUNDUP(Q8*0.75,2)</f>
        <v>3</v>
      </c>
    </row>
    <row r="9" spans="1:26" ht="20.100000000000001" customHeight="1" x14ac:dyDescent="0.15">
      <c r="A9" s="222"/>
      <c r="B9" s="65"/>
      <c r="C9" s="42" t="s">
        <v>87</v>
      </c>
      <c r="D9" s="43"/>
      <c r="E9" s="44">
        <v>5</v>
      </c>
      <c r="F9" s="45" t="s">
        <v>23</v>
      </c>
      <c r="G9" s="69" t="s">
        <v>88</v>
      </c>
      <c r="H9" s="73" t="s">
        <v>87</v>
      </c>
      <c r="I9" s="43"/>
      <c r="J9" s="45">
        <f>ROUNDUP(E9*0.75,2)</f>
        <v>3.75</v>
      </c>
      <c r="K9" s="45" t="s">
        <v>23</v>
      </c>
      <c r="L9" s="45" t="s">
        <v>88</v>
      </c>
      <c r="M9" s="77" t="e">
        <f>#REF!</f>
        <v>#REF!</v>
      </c>
      <c r="N9" s="65" t="s">
        <v>241</v>
      </c>
      <c r="O9" s="46" t="s">
        <v>26</v>
      </c>
      <c r="P9" s="43"/>
      <c r="Q9" s="47">
        <v>2</v>
      </c>
      <c r="R9" s="85">
        <f>ROUNDUP(Q9*0.75,2)</f>
        <v>1.5</v>
      </c>
    </row>
    <row r="10" spans="1:26" ht="20.100000000000001" customHeight="1" x14ac:dyDescent="0.15">
      <c r="A10" s="222"/>
      <c r="B10" s="65"/>
      <c r="C10" s="42"/>
      <c r="D10" s="43"/>
      <c r="E10" s="44"/>
      <c r="F10" s="45"/>
      <c r="G10" s="69"/>
      <c r="H10" s="73"/>
      <c r="I10" s="43"/>
      <c r="J10" s="45"/>
      <c r="K10" s="45"/>
      <c r="L10" s="45"/>
      <c r="M10" s="77"/>
      <c r="N10" s="65" t="s">
        <v>242</v>
      </c>
      <c r="O10" s="46" t="s">
        <v>57</v>
      </c>
      <c r="P10" s="43"/>
      <c r="Q10" s="47">
        <v>0.3</v>
      </c>
      <c r="R10" s="85">
        <f>ROUNDUP(Q10*0.75,2)</f>
        <v>0.23</v>
      </c>
    </row>
    <row r="11" spans="1:26" ht="20.100000000000001" customHeight="1" x14ac:dyDescent="0.15">
      <c r="A11" s="222"/>
      <c r="B11" s="65"/>
      <c r="C11" s="42"/>
      <c r="D11" s="43"/>
      <c r="E11" s="44"/>
      <c r="F11" s="45"/>
      <c r="G11" s="69"/>
      <c r="H11" s="73"/>
      <c r="I11" s="43"/>
      <c r="J11" s="45"/>
      <c r="K11" s="45"/>
      <c r="L11" s="45"/>
      <c r="M11" s="77"/>
      <c r="N11" s="65" t="s">
        <v>16</v>
      </c>
      <c r="O11" s="46"/>
      <c r="P11" s="43"/>
      <c r="Q11" s="47"/>
      <c r="R11" s="85"/>
    </row>
    <row r="12" spans="1:26" ht="20.100000000000001" customHeight="1" x14ac:dyDescent="0.15">
      <c r="A12" s="222"/>
      <c r="B12" s="65"/>
      <c r="C12" s="42"/>
      <c r="D12" s="43"/>
      <c r="E12" s="44"/>
      <c r="F12" s="45"/>
      <c r="G12" s="69"/>
      <c r="H12" s="73"/>
      <c r="I12" s="43"/>
      <c r="J12" s="45"/>
      <c r="K12" s="45"/>
      <c r="L12" s="45"/>
      <c r="M12" s="77"/>
      <c r="N12" s="65" t="s">
        <v>40</v>
      </c>
      <c r="O12" s="46"/>
      <c r="P12" s="43"/>
      <c r="Q12" s="47"/>
      <c r="R12" s="85"/>
    </row>
    <row r="13" spans="1:26" ht="20.100000000000001" customHeight="1" x14ac:dyDescent="0.15">
      <c r="A13" s="222"/>
      <c r="B13" s="66"/>
      <c r="C13" s="49"/>
      <c r="D13" s="50"/>
      <c r="E13" s="51"/>
      <c r="F13" s="52"/>
      <c r="G13" s="70"/>
      <c r="H13" s="74"/>
      <c r="I13" s="50"/>
      <c r="J13" s="52"/>
      <c r="K13" s="52"/>
      <c r="L13" s="52"/>
      <c r="M13" s="78"/>
      <c r="N13" s="66"/>
      <c r="O13" s="53"/>
      <c r="P13" s="50"/>
      <c r="Q13" s="54"/>
      <c r="R13" s="84"/>
    </row>
    <row r="14" spans="1:26" ht="20.100000000000001" customHeight="1" x14ac:dyDescent="0.15">
      <c r="A14" s="222"/>
      <c r="B14" s="65" t="s">
        <v>243</v>
      </c>
      <c r="C14" s="42" t="s">
        <v>41</v>
      </c>
      <c r="D14" s="43"/>
      <c r="E14" s="44">
        <v>30</v>
      </c>
      <c r="F14" s="45" t="s">
        <v>23</v>
      </c>
      <c r="G14" s="69" t="s">
        <v>35</v>
      </c>
      <c r="H14" s="73" t="s">
        <v>41</v>
      </c>
      <c r="I14" s="43"/>
      <c r="J14" s="45">
        <f t="shared" ref="J14:J21" si="0">ROUNDUP(E14*0.75,2)</f>
        <v>22.5</v>
      </c>
      <c r="K14" s="45" t="s">
        <v>23</v>
      </c>
      <c r="L14" s="45" t="s">
        <v>35</v>
      </c>
      <c r="M14" s="77" t="e">
        <f>#REF!</f>
        <v>#REF!</v>
      </c>
      <c r="N14" s="65" t="s">
        <v>38</v>
      </c>
      <c r="O14" s="46" t="s">
        <v>47</v>
      </c>
      <c r="P14" s="43"/>
      <c r="Q14" s="47">
        <v>1</v>
      </c>
      <c r="R14" s="85">
        <f t="shared" ref="R14:R22" si="1">ROUNDUP(Q14*0.75,2)</f>
        <v>0.75</v>
      </c>
    </row>
    <row r="15" spans="1:26" ht="20.100000000000001" customHeight="1" x14ac:dyDescent="0.15">
      <c r="A15" s="222"/>
      <c r="B15" s="65"/>
      <c r="C15" s="42" t="s">
        <v>247</v>
      </c>
      <c r="D15" s="43"/>
      <c r="E15" s="48">
        <v>0.1</v>
      </c>
      <c r="F15" s="45" t="s">
        <v>43</v>
      </c>
      <c r="G15" s="69" t="s">
        <v>22</v>
      </c>
      <c r="H15" s="73" t="s">
        <v>247</v>
      </c>
      <c r="I15" s="43"/>
      <c r="J15" s="45">
        <f t="shared" si="0"/>
        <v>0.08</v>
      </c>
      <c r="K15" s="45" t="s">
        <v>43</v>
      </c>
      <c r="L15" s="45" t="s">
        <v>22</v>
      </c>
      <c r="M15" s="77" t="e">
        <f>#REF!</f>
        <v>#REF!</v>
      </c>
      <c r="N15" s="65" t="s">
        <v>284</v>
      </c>
      <c r="O15" s="46" t="s">
        <v>48</v>
      </c>
      <c r="P15" s="43"/>
      <c r="Q15" s="47">
        <v>2.5</v>
      </c>
      <c r="R15" s="85">
        <f t="shared" si="1"/>
        <v>1.8800000000000001</v>
      </c>
    </row>
    <row r="16" spans="1:26" ht="20.100000000000001" customHeight="1" x14ac:dyDescent="0.15">
      <c r="A16" s="222"/>
      <c r="B16" s="65"/>
      <c r="C16" s="42" t="s">
        <v>44</v>
      </c>
      <c r="D16" s="43"/>
      <c r="E16" s="44">
        <v>10</v>
      </c>
      <c r="F16" s="45" t="s">
        <v>23</v>
      </c>
      <c r="G16" s="69"/>
      <c r="H16" s="73" t="s">
        <v>44</v>
      </c>
      <c r="I16" s="43"/>
      <c r="J16" s="45">
        <f t="shared" si="0"/>
        <v>7.5</v>
      </c>
      <c r="K16" s="45" t="s">
        <v>23</v>
      </c>
      <c r="L16" s="45"/>
      <c r="M16" s="77" t="e">
        <f>ROUND(#REF!+(#REF!*6/100),2)</f>
        <v>#REF!</v>
      </c>
      <c r="N16" s="65" t="s">
        <v>285</v>
      </c>
      <c r="O16" s="46" t="s">
        <v>49</v>
      </c>
      <c r="P16" s="43"/>
      <c r="Q16" s="47">
        <v>1.5</v>
      </c>
      <c r="R16" s="85">
        <f t="shared" si="1"/>
        <v>1.1300000000000001</v>
      </c>
    </row>
    <row r="17" spans="1:18" ht="20.100000000000001" customHeight="1" x14ac:dyDescent="0.15">
      <c r="A17" s="222"/>
      <c r="B17" s="65"/>
      <c r="C17" s="42" t="s">
        <v>45</v>
      </c>
      <c r="D17" s="43" t="s">
        <v>29</v>
      </c>
      <c r="E17" s="44">
        <v>5</v>
      </c>
      <c r="F17" s="45" t="s">
        <v>23</v>
      </c>
      <c r="G17" s="69" t="s">
        <v>46</v>
      </c>
      <c r="H17" s="73" t="s">
        <v>45</v>
      </c>
      <c r="I17" s="43" t="s">
        <v>29</v>
      </c>
      <c r="J17" s="45">
        <f t="shared" si="0"/>
        <v>3.75</v>
      </c>
      <c r="K17" s="45" t="s">
        <v>23</v>
      </c>
      <c r="L17" s="45" t="s">
        <v>46</v>
      </c>
      <c r="M17" s="77" t="e">
        <f>#REF!</f>
        <v>#REF!</v>
      </c>
      <c r="N17" s="65" t="s">
        <v>244</v>
      </c>
      <c r="O17" s="46" t="s">
        <v>47</v>
      </c>
      <c r="P17" s="43"/>
      <c r="Q17" s="47">
        <v>1.5</v>
      </c>
      <c r="R17" s="85">
        <f t="shared" si="1"/>
        <v>1.1300000000000001</v>
      </c>
    </row>
    <row r="18" spans="1:18" ht="20.100000000000001" customHeight="1" x14ac:dyDescent="0.15">
      <c r="A18" s="222"/>
      <c r="B18" s="65"/>
      <c r="C18" s="42" t="s">
        <v>69</v>
      </c>
      <c r="D18" s="43"/>
      <c r="E18" s="44">
        <v>10</v>
      </c>
      <c r="F18" s="45" t="s">
        <v>23</v>
      </c>
      <c r="G18" s="69"/>
      <c r="H18" s="73" t="s">
        <v>69</v>
      </c>
      <c r="I18" s="43"/>
      <c r="J18" s="45">
        <f t="shared" si="0"/>
        <v>7.5</v>
      </c>
      <c r="K18" s="45" t="s">
        <v>23</v>
      </c>
      <c r="L18" s="45"/>
      <c r="M18" s="77" t="e">
        <f>ROUND(#REF!+(#REF!*3/100),2)</f>
        <v>#REF!</v>
      </c>
      <c r="N18" s="65" t="s">
        <v>245</v>
      </c>
      <c r="O18" s="46" t="s">
        <v>73</v>
      </c>
      <c r="P18" s="43"/>
      <c r="Q18" s="47">
        <v>10</v>
      </c>
      <c r="R18" s="85">
        <f t="shared" si="1"/>
        <v>7.5</v>
      </c>
    </row>
    <row r="19" spans="1:18" ht="20.100000000000001" customHeight="1" x14ac:dyDescent="0.15">
      <c r="A19" s="222"/>
      <c r="B19" s="65"/>
      <c r="C19" s="42" t="s">
        <v>30</v>
      </c>
      <c r="D19" s="43"/>
      <c r="E19" s="44">
        <v>3</v>
      </c>
      <c r="F19" s="45" t="s">
        <v>23</v>
      </c>
      <c r="G19" s="69" t="s">
        <v>31</v>
      </c>
      <c r="H19" s="73" t="s">
        <v>30</v>
      </c>
      <c r="I19" s="43"/>
      <c r="J19" s="45">
        <f t="shared" si="0"/>
        <v>2.25</v>
      </c>
      <c r="K19" s="45" t="s">
        <v>23</v>
      </c>
      <c r="L19" s="45" t="s">
        <v>31</v>
      </c>
      <c r="M19" s="77" t="e">
        <f>#REF!</f>
        <v>#REF!</v>
      </c>
      <c r="N19" s="65" t="s">
        <v>282</v>
      </c>
      <c r="O19" s="46" t="s">
        <v>103</v>
      </c>
      <c r="P19" s="43" t="s">
        <v>63</v>
      </c>
      <c r="Q19" s="47">
        <v>1</v>
      </c>
      <c r="R19" s="85">
        <f t="shared" si="1"/>
        <v>0.75</v>
      </c>
    </row>
    <row r="20" spans="1:18" ht="20.100000000000001" customHeight="1" x14ac:dyDescent="0.15">
      <c r="A20" s="222"/>
      <c r="B20" s="65"/>
      <c r="C20" s="42" t="s">
        <v>50</v>
      </c>
      <c r="D20" s="43"/>
      <c r="E20" s="44">
        <v>20</v>
      </c>
      <c r="F20" s="45" t="s">
        <v>23</v>
      </c>
      <c r="G20" s="69"/>
      <c r="H20" s="73" t="s">
        <v>50</v>
      </c>
      <c r="I20" s="43"/>
      <c r="J20" s="45">
        <f t="shared" si="0"/>
        <v>15</v>
      </c>
      <c r="K20" s="45" t="s">
        <v>23</v>
      </c>
      <c r="L20" s="45"/>
      <c r="M20" s="77" t="e">
        <f>ROUND(#REF!+(#REF!*15/100),2)</f>
        <v>#REF!</v>
      </c>
      <c r="N20" s="65" t="s">
        <v>283</v>
      </c>
      <c r="O20" s="46" t="s">
        <v>26</v>
      </c>
      <c r="P20" s="43"/>
      <c r="Q20" s="47">
        <v>1</v>
      </c>
      <c r="R20" s="85">
        <f t="shared" si="1"/>
        <v>0.75</v>
      </c>
    </row>
    <row r="21" spans="1:18" ht="20.100000000000001" customHeight="1" x14ac:dyDescent="0.15">
      <c r="A21" s="222"/>
      <c r="B21" s="65"/>
      <c r="C21" s="42" t="s">
        <v>51</v>
      </c>
      <c r="D21" s="43"/>
      <c r="E21" s="44">
        <v>10</v>
      </c>
      <c r="F21" s="45" t="s">
        <v>23</v>
      </c>
      <c r="G21" s="69"/>
      <c r="H21" s="73" t="s">
        <v>51</v>
      </c>
      <c r="I21" s="43"/>
      <c r="J21" s="45">
        <f t="shared" si="0"/>
        <v>7.5</v>
      </c>
      <c r="K21" s="45" t="s">
        <v>23</v>
      </c>
      <c r="L21" s="45"/>
      <c r="M21" s="77" t="e">
        <f>ROUND(#REF!+(#REF!*3/100),2)</f>
        <v>#REF!</v>
      </c>
      <c r="N21" s="65" t="s">
        <v>18</v>
      </c>
      <c r="O21" s="46" t="s">
        <v>57</v>
      </c>
      <c r="P21" s="43"/>
      <c r="Q21" s="47">
        <v>0.05</v>
      </c>
      <c r="R21" s="85">
        <f t="shared" si="1"/>
        <v>0.04</v>
      </c>
    </row>
    <row r="22" spans="1:18" ht="20.100000000000001" customHeight="1" x14ac:dyDescent="0.15">
      <c r="A22" s="222"/>
      <c r="B22" s="65"/>
      <c r="C22" s="42"/>
      <c r="D22" s="43"/>
      <c r="E22" s="44"/>
      <c r="F22" s="45"/>
      <c r="G22" s="69"/>
      <c r="H22" s="73"/>
      <c r="I22" s="43"/>
      <c r="J22" s="45"/>
      <c r="K22" s="45"/>
      <c r="L22" s="45"/>
      <c r="M22" s="77"/>
      <c r="N22" s="65" t="s">
        <v>246</v>
      </c>
      <c r="O22" s="46" t="s">
        <v>105</v>
      </c>
      <c r="P22" s="43"/>
      <c r="Q22" s="47">
        <v>3</v>
      </c>
      <c r="R22" s="85">
        <f t="shared" si="1"/>
        <v>2.25</v>
      </c>
    </row>
    <row r="23" spans="1:18" ht="20.100000000000001" customHeight="1" x14ac:dyDescent="0.15">
      <c r="A23" s="222"/>
      <c r="B23" s="66"/>
      <c r="C23" s="49"/>
      <c r="D23" s="50"/>
      <c r="E23" s="51"/>
      <c r="F23" s="52"/>
      <c r="G23" s="70"/>
      <c r="H23" s="74"/>
      <c r="I23" s="50"/>
      <c r="J23" s="52"/>
      <c r="K23" s="52"/>
      <c r="L23" s="52"/>
      <c r="M23" s="78"/>
      <c r="N23" s="66" t="s">
        <v>40</v>
      </c>
      <c r="O23" s="53"/>
      <c r="P23" s="50"/>
      <c r="Q23" s="54"/>
      <c r="R23" s="84"/>
    </row>
    <row r="24" spans="1:18" ht="20.100000000000001" customHeight="1" x14ac:dyDescent="0.15">
      <c r="A24" s="222"/>
      <c r="B24" s="65" t="s">
        <v>52</v>
      </c>
      <c r="C24" s="42" t="s">
        <v>53</v>
      </c>
      <c r="D24" s="43"/>
      <c r="E24" s="44">
        <v>20</v>
      </c>
      <c r="F24" s="45" t="s">
        <v>23</v>
      </c>
      <c r="G24" s="69"/>
      <c r="H24" s="73" t="s">
        <v>53</v>
      </c>
      <c r="I24" s="43"/>
      <c r="J24" s="45">
        <f>ROUNDUP(E24*0.75,2)</f>
        <v>15</v>
      </c>
      <c r="K24" s="45" t="s">
        <v>23</v>
      </c>
      <c r="L24" s="45"/>
      <c r="M24" s="77" t="e">
        <f>ROUND(#REF!+(#REF!*10/100),2)</f>
        <v>#REF!</v>
      </c>
      <c r="N24" s="65" t="s">
        <v>40</v>
      </c>
      <c r="O24" s="46" t="s">
        <v>25</v>
      </c>
      <c r="P24" s="43"/>
      <c r="Q24" s="47">
        <v>100</v>
      </c>
      <c r="R24" s="85">
        <f>ROUNDUP(Q24*0.75,2)</f>
        <v>75</v>
      </c>
    </row>
    <row r="25" spans="1:18" ht="20.100000000000001" customHeight="1" x14ac:dyDescent="0.15">
      <c r="A25" s="222"/>
      <c r="B25" s="65"/>
      <c r="C25" s="42" t="s">
        <v>54</v>
      </c>
      <c r="D25" s="43" t="s">
        <v>55</v>
      </c>
      <c r="E25" s="55">
        <v>0.125</v>
      </c>
      <c r="F25" s="45" t="s">
        <v>56</v>
      </c>
      <c r="G25" s="69"/>
      <c r="H25" s="73" t="s">
        <v>54</v>
      </c>
      <c r="I25" s="43" t="s">
        <v>55</v>
      </c>
      <c r="J25" s="45">
        <f>ROUNDUP(E25*0.75,2)</f>
        <v>9.9999999999999992E-2</v>
      </c>
      <c r="K25" s="45" t="s">
        <v>56</v>
      </c>
      <c r="L25" s="45"/>
      <c r="M25" s="77" t="e">
        <f>#REF!</f>
        <v>#REF!</v>
      </c>
      <c r="N25" s="65"/>
      <c r="O25" s="46" t="s">
        <v>57</v>
      </c>
      <c r="P25" s="43"/>
      <c r="Q25" s="47">
        <v>0.1</v>
      </c>
      <c r="R25" s="85">
        <f>ROUNDUP(Q25*0.75,2)</f>
        <v>0.08</v>
      </c>
    </row>
    <row r="26" spans="1:18" ht="20.100000000000001" customHeight="1" x14ac:dyDescent="0.15">
      <c r="A26" s="222"/>
      <c r="B26" s="65"/>
      <c r="C26" s="42"/>
      <c r="D26" s="43"/>
      <c r="E26" s="44"/>
      <c r="F26" s="45"/>
      <c r="G26" s="69"/>
      <c r="H26" s="73"/>
      <c r="I26" s="43"/>
      <c r="J26" s="45"/>
      <c r="K26" s="45"/>
      <c r="L26" s="45"/>
      <c r="M26" s="77"/>
      <c r="N26" s="65"/>
      <c r="O26" s="46" t="s">
        <v>28</v>
      </c>
      <c r="P26" s="43" t="s">
        <v>29</v>
      </c>
      <c r="Q26" s="47">
        <v>0.5</v>
      </c>
      <c r="R26" s="85">
        <f>ROUNDUP(Q26*0.75,2)</f>
        <v>0.38</v>
      </c>
    </row>
    <row r="27" spans="1:18" ht="20.100000000000001" customHeight="1" x14ac:dyDescent="0.15">
      <c r="A27" s="222"/>
      <c r="B27" s="66"/>
      <c r="C27" s="49"/>
      <c r="D27" s="50"/>
      <c r="E27" s="51"/>
      <c r="F27" s="52"/>
      <c r="G27" s="70"/>
      <c r="H27" s="74"/>
      <c r="I27" s="50"/>
      <c r="J27" s="52"/>
      <c r="K27" s="52"/>
      <c r="L27" s="52"/>
      <c r="M27" s="78"/>
      <c r="N27" s="66"/>
      <c r="O27" s="53"/>
      <c r="P27" s="50"/>
      <c r="Q27" s="54"/>
      <c r="R27" s="84"/>
    </row>
    <row r="28" spans="1:18" ht="20.100000000000001" customHeight="1" x14ac:dyDescent="0.15">
      <c r="A28" s="222"/>
      <c r="B28" s="65" t="s">
        <v>58</v>
      </c>
      <c r="C28" s="42" t="s">
        <v>60</v>
      </c>
      <c r="D28" s="43"/>
      <c r="E28" s="56">
        <v>0.16666666666666666</v>
      </c>
      <c r="F28" s="45" t="s">
        <v>56</v>
      </c>
      <c r="G28" s="69"/>
      <c r="H28" s="73" t="s">
        <v>60</v>
      </c>
      <c r="I28" s="43"/>
      <c r="J28" s="45">
        <f>ROUNDUP(E28*0.75,2)</f>
        <v>0.13</v>
      </c>
      <c r="K28" s="45" t="s">
        <v>56</v>
      </c>
      <c r="L28" s="45"/>
      <c r="M28" s="77" t="e">
        <f>#REF!</f>
        <v>#REF!</v>
      </c>
      <c r="N28" s="65" t="s">
        <v>59</v>
      </c>
      <c r="O28" s="46"/>
      <c r="P28" s="43"/>
      <c r="Q28" s="47"/>
      <c r="R28" s="85"/>
    </row>
    <row r="29" spans="1:18" ht="20.100000000000001" customHeight="1" thickBot="1" x14ac:dyDescent="0.2">
      <c r="A29" s="223"/>
      <c r="B29" s="67"/>
      <c r="C29" s="57"/>
      <c r="D29" s="58"/>
      <c r="E29" s="59"/>
      <c r="F29" s="60"/>
      <c r="G29" s="71"/>
      <c r="H29" s="75"/>
      <c r="I29" s="58"/>
      <c r="J29" s="60"/>
      <c r="K29" s="60"/>
      <c r="L29" s="60"/>
      <c r="M29" s="79"/>
      <c r="N29" s="67"/>
      <c r="O29" s="61"/>
      <c r="P29" s="58"/>
      <c r="Q29" s="62"/>
      <c r="R29" s="86"/>
    </row>
    <row r="33" spans="16:18" ht="18.75" customHeight="1" x14ac:dyDescent="0.15">
      <c r="P33" s="225" t="s">
        <v>296</v>
      </c>
      <c r="Q33" s="225"/>
      <c r="R33" s="225"/>
    </row>
  </sheetData>
  <mergeCells count="6">
    <mergeCell ref="P33:R33"/>
    <mergeCell ref="H1:N1"/>
    <mergeCell ref="A2:R2"/>
    <mergeCell ref="A5:F5"/>
    <mergeCell ref="A7:A29"/>
    <mergeCell ref="B3:C4"/>
  </mergeCells>
  <phoneticPr fontId="16"/>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1.625" style="27" bestFit="1" customWidth="1"/>
    <col min="4" max="4" width="17.125" style="26" customWidth="1"/>
    <col min="5" max="5" width="8.125" style="29" customWidth="1"/>
    <col min="6" max="6" width="4" style="30" customWidth="1"/>
    <col min="7" max="7" width="10.25" style="30" hidden="1" customWidth="1"/>
    <col min="8" max="8" width="20.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248</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20</v>
      </c>
      <c r="C5" s="36"/>
      <c r="D5" s="37"/>
      <c r="E5" s="38"/>
      <c r="F5" s="39"/>
      <c r="G5" s="68"/>
      <c r="H5" s="72"/>
      <c r="I5" s="37"/>
      <c r="J5" s="39"/>
      <c r="K5" s="39"/>
      <c r="L5" s="39"/>
      <c r="M5" s="76"/>
      <c r="N5" s="64"/>
      <c r="O5" s="40" t="s">
        <v>20</v>
      </c>
      <c r="P5" s="37"/>
      <c r="Q5" s="41">
        <v>110</v>
      </c>
      <c r="R5" s="83">
        <f>ROUNDUP(Q5*0.75,2)</f>
        <v>82.5</v>
      </c>
    </row>
    <row r="6" spans="1:19" ht="24.95" customHeight="1" x14ac:dyDescent="0.15">
      <c r="A6" s="222"/>
      <c r="B6" s="66"/>
      <c r="C6" s="49"/>
      <c r="D6" s="50"/>
      <c r="E6" s="51"/>
      <c r="F6" s="52"/>
      <c r="G6" s="70"/>
      <c r="H6" s="74"/>
      <c r="I6" s="50"/>
      <c r="J6" s="52"/>
      <c r="K6" s="52"/>
      <c r="L6" s="52"/>
      <c r="M6" s="78"/>
      <c r="N6" s="66"/>
      <c r="O6" s="53"/>
      <c r="P6" s="50"/>
      <c r="Q6" s="54"/>
      <c r="R6" s="84"/>
    </row>
    <row r="7" spans="1:19" ht="24.95" customHeight="1" x14ac:dyDescent="0.15">
      <c r="A7" s="222"/>
      <c r="B7" s="65" t="s">
        <v>119</v>
      </c>
      <c r="C7" s="42" t="s">
        <v>42</v>
      </c>
      <c r="D7" s="43"/>
      <c r="E7" s="82">
        <v>0.33333333333333331</v>
      </c>
      <c r="F7" s="45" t="s">
        <v>43</v>
      </c>
      <c r="G7" s="69" t="s">
        <v>22</v>
      </c>
      <c r="H7" s="73" t="s">
        <v>42</v>
      </c>
      <c r="I7" s="43"/>
      <c r="J7" s="45">
        <f>ROUNDUP(E7*0.75,2)</f>
        <v>0.25</v>
      </c>
      <c r="K7" s="45" t="s">
        <v>43</v>
      </c>
      <c r="L7" s="45" t="s">
        <v>22</v>
      </c>
      <c r="M7" s="77" t="e">
        <f>#REF!</f>
        <v>#REF!</v>
      </c>
      <c r="N7" s="65" t="s">
        <v>120</v>
      </c>
      <c r="O7" s="46" t="s">
        <v>27</v>
      </c>
      <c r="P7" s="43"/>
      <c r="Q7" s="47">
        <v>0.5</v>
      </c>
      <c r="R7" s="85">
        <f t="shared" ref="R7:R13" si="0">ROUNDUP(Q7*0.75,2)</f>
        <v>0.38</v>
      </c>
    </row>
    <row r="8" spans="1:19" ht="24.95" customHeight="1" x14ac:dyDescent="0.15">
      <c r="A8" s="222"/>
      <c r="B8" s="65"/>
      <c r="C8" s="42" t="s">
        <v>76</v>
      </c>
      <c r="D8" s="43"/>
      <c r="E8" s="44">
        <v>20</v>
      </c>
      <c r="F8" s="45" t="s">
        <v>23</v>
      </c>
      <c r="G8" s="69" t="s">
        <v>35</v>
      </c>
      <c r="H8" s="73" t="s">
        <v>76</v>
      </c>
      <c r="I8" s="43"/>
      <c r="J8" s="45">
        <f>ROUNDUP(E8*0.75,2)</f>
        <v>15</v>
      </c>
      <c r="K8" s="45" t="s">
        <v>23</v>
      </c>
      <c r="L8" s="45" t="s">
        <v>35</v>
      </c>
      <c r="M8" s="77" t="e">
        <f>#REF!</f>
        <v>#REF!</v>
      </c>
      <c r="N8" s="65" t="s">
        <v>121</v>
      </c>
      <c r="O8" s="46" t="s">
        <v>124</v>
      </c>
      <c r="P8" s="43"/>
      <c r="Q8" s="47">
        <v>2</v>
      </c>
      <c r="R8" s="85">
        <f t="shared" si="0"/>
        <v>1.5</v>
      </c>
    </row>
    <row r="9" spans="1:19" ht="24.95" customHeight="1" x14ac:dyDescent="0.15">
      <c r="A9" s="222"/>
      <c r="B9" s="65"/>
      <c r="C9" s="42" t="s">
        <v>125</v>
      </c>
      <c r="D9" s="43"/>
      <c r="E9" s="44">
        <v>5</v>
      </c>
      <c r="F9" s="45" t="s">
        <v>23</v>
      </c>
      <c r="G9" s="69" t="s">
        <v>31</v>
      </c>
      <c r="H9" s="73" t="s">
        <v>125</v>
      </c>
      <c r="I9" s="43"/>
      <c r="J9" s="45">
        <f>ROUNDUP(E9*0.75,2)</f>
        <v>3.75</v>
      </c>
      <c r="K9" s="45" t="s">
        <v>23</v>
      </c>
      <c r="L9" s="45" t="s">
        <v>31</v>
      </c>
      <c r="M9" s="77" t="e">
        <f>#REF!</f>
        <v>#REF!</v>
      </c>
      <c r="N9" s="65" t="s">
        <v>122</v>
      </c>
      <c r="O9" s="46" t="s">
        <v>25</v>
      </c>
      <c r="P9" s="43"/>
      <c r="Q9" s="47">
        <v>15</v>
      </c>
      <c r="R9" s="85">
        <f t="shared" si="0"/>
        <v>11.25</v>
      </c>
    </row>
    <row r="10" spans="1:19" ht="24.95" customHeight="1" x14ac:dyDescent="0.15">
      <c r="A10" s="222"/>
      <c r="B10" s="65"/>
      <c r="C10" s="42" t="s">
        <v>44</v>
      </c>
      <c r="D10" s="43"/>
      <c r="E10" s="44">
        <v>20</v>
      </c>
      <c r="F10" s="45" t="s">
        <v>23</v>
      </c>
      <c r="G10" s="69"/>
      <c r="H10" s="73" t="s">
        <v>44</v>
      </c>
      <c r="I10" s="43"/>
      <c r="J10" s="45">
        <f>ROUNDUP(E10*0.75,2)</f>
        <v>15</v>
      </c>
      <c r="K10" s="45" t="s">
        <v>23</v>
      </c>
      <c r="L10" s="45"/>
      <c r="M10" s="77" t="e">
        <f>ROUND(#REF!+(#REF!*6/100),2)</f>
        <v>#REF!</v>
      </c>
      <c r="N10" s="65" t="s">
        <v>123</v>
      </c>
      <c r="O10" s="46" t="s">
        <v>26</v>
      </c>
      <c r="P10" s="43"/>
      <c r="Q10" s="47">
        <v>0.6</v>
      </c>
      <c r="R10" s="85">
        <f t="shared" si="0"/>
        <v>0.45</v>
      </c>
    </row>
    <row r="11" spans="1:19" ht="24.95" customHeight="1" x14ac:dyDescent="0.15">
      <c r="A11" s="222"/>
      <c r="B11" s="65"/>
      <c r="C11" s="42" t="s">
        <v>69</v>
      </c>
      <c r="D11" s="43"/>
      <c r="E11" s="44">
        <v>5</v>
      </c>
      <c r="F11" s="45" t="s">
        <v>23</v>
      </c>
      <c r="G11" s="69"/>
      <c r="H11" s="73" t="s">
        <v>69</v>
      </c>
      <c r="I11" s="43"/>
      <c r="J11" s="45">
        <f>ROUNDUP(E11*0.75,2)</f>
        <v>3.75</v>
      </c>
      <c r="K11" s="45" t="s">
        <v>23</v>
      </c>
      <c r="L11" s="45"/>
      <c r="M11" s="77" t="e">
        <f>ROUND(#REF!+(#REF!*3/100),2)</f>
        <v>#REF!</v>
      </c>
      <c r="N11" s="65" t="s">
        <v>40</v>
      </c>
      <c r="O11" s="46" t="s">
        <v>49</v>
      </c>
      <c r="P11" s="43"/>
      <c r="Q11" s="47">
        <v>2</v>
      </c>
      <c r="R11" s="85">
        <f t="shared" si="0"/>
        <v>1.5</v>
      </c>
    </row>
    <row r="12" spans="1:19" ht="24.95" customHeight="1" x14ac:dyDescent="0.15">
      <c r="A12" s="222"/>
      <c r="B12" s="65"/>
      <c r="C12" s="42"/>
      <c r="D12" s="43"/>
      <c r="E12" s="44"/>
      <c r="F12" s="45"/>
      <c r="G12" s="69"/>
      <c r="H12" s="73"/>
      <c r="I12" s="43"/>
      <c r="J12" s="45"/>
      <c r="K12" s="45"/>
      <c r="L12" s="45"/>
      <c r="M12" s="77"/>
      <c r="N12" s="65"/>
      <c r="O12" s="46" t="s">
        <v>28</v>
      </c>
      <c r="P12" s="43" t="s">
        <v>29</v>
      </c>
      <c r="Q12" s="47">
        <v>3</v>
      </c>
      <c r="R12" s="85">
        <f t="shared" si="0"/>
        <v>2.25</v>
      </c>
    </row>
    <row r="13" spans="1:19" ht="24.95" customHeight="1" x14ac:dyDescent="0.15">
      <c r="A13" s="222"/>
      <c r="B13" s="65"/>
      <c r="C13" s="42"/>
      <c r="D13" s="43"/>
      <c r="E13" s="44"/>
      <c r="F13" s="45"/>
      <c r="G13" s="69"/>
      <c r="H13" s="73"/>
      <c r="I13" s="43"/>
      <c r="J13" s="45"/>
      <c r="K13" s="45"/>
      <c r="L13" s="45"/>
      <c r="M13" s="77"/>
      <c r="N13" s="65"/>
      <c r="O13" s="46" t="s">
        <v>67</v>
      </c>
      <c r="P13" s="43"/>
      <c r="Q13" s="47">
        <v>1</v>
      </c>
      <c r="R13" s="85">
        <f t="shared" si="0"/>
        <v>0.75</v>
      </c>
    </row>
    <row r="14" spans="1:19" ht="24.95" customHeight="1" x14ac:dyDescent="0.15">
      <c r="A14" s="222"/>
      <c r="B14" s="66"/>
      <c r="C14" s="49"/>
      <c r="D14" s="50"/>
      <c r="E14" s="51"/>
      <c r="F14" s="52"/>
      <c r="G14" s="70"/>
      <c r="H14" s="74"/>
      <c r="I14" s="50"/>
      <c r="J14" s="52"/>
      <c r="K14" s="52"/>
      <c r="L14" s="52"/>
      <c r="M14" s="78"/>
      <c r="N14" s="66"/>
      <c r="O14" s="53"/>
      <c r="P14" s="50"/>
      <c r="Q14" s="54"/>
      <c r="R14" s="84"/>
    </row>
    <row r="15" spans="1:19" ht="24.95" customHeight="1" x14ac:dyDescent="0.15">
      <c r="A15" s="222"/>
      <c r="B15" s="65" t="s">
        <v>126</v>
      </c>
      <c r="C15" s="42" t="s">
        <v>77</v>
      </c>
      <c r="D15" s="43"/>
      <c r="E15" s="44">
        <v>30</v>
      </c>
      <c r="F15" s="45" t="s">
        <v>23</v>
      </c>
      <c r="G15" s="69"/>
      <c r="H15" s="73" t="s">
        <v>77</v>
      </c>
      <c r="I15" s="43"/>
      <c r="J15" s="45">
        <f>ROUNDUP(E15*0.75,2)</f>
        <v>22.5</v>
      </c>
      <c r="K15" s="45" t="s">
        <v>23</v>
      </c>
      <c r="L15" s="45"/>
      <c r="M15" s="77" t="e">
        <f>ROUND(#REF!+(#REF!*6/100),2)</f>
        <v>#REF!</v>
      </c>
      <c r="N15" s="65" t="s">
        <v>127</v>
      </c>
      <c r="O15" s="46" t="s">
        <v>25</v>
      </c>
      <c r="P15" s="43"/>
      <c r="Q15" s="47">
        <v>2</v>
      </c>
      <c r="R15" s="85">
        <f>ROUNDUP(Q15*0.75,2)</f>
        <v>1.5</v>
      </c>
    </row>
    <row r="16" spans="1:19" ht="24.95" customHeight="1" x14ac:dyDescent="0.15">
      <c r="A16" s="222"/>
      <c r="B16" s="65"/>
      <c r="C16" s="42" t="s">
        <v>129</v>
      </c>
      <c r="D16" s="43"/>
      <c r="E16" s="44">
        <v>10</v>
      </c>
      <c r="F16" s="45" t="s">
        <v>23</v>
      </c>
      <c r="G16" s="69" t="s">
        <v>130</v>
      </c>
      <c r="H16" s="73" t="s">
        <v>129</v>
      </c>
      <c r="I16" s="43"/>
      <c r="J16" s="45">
        <f>ROUNDUP(E16*0.75,2)</f>
        <v>7.5</v>
      </c>
      <c r="K16" s="45" t="s">
        <v>23</v>
      </c>
      <c r="L16" s="45" t="s">
        <v>130</v>
      </c>
      <c r="M16" s="77" t="e">
        <f>#REF!</f>
        <v>#REF!</v>
      </c>
      <c r="N16" s="65" t="s">
        <v>128</v>
      </c>
      <c r="O16" s="46" t="s">
        <v>26</v>
      </c>
      <c r="P16" s="43"/>
      <c r="Q16" s="47">
        <v>1</v>
      </c>
      <c r="R16" s="85">
        <f>ROUNDUP(Q16*0.75,2)</f>
        <v>0.75</v>
      </c>
    </row>
    <row r="17" spans="1:18" ht="24.95" customHeight="1" x14ac:dyDescent="0.15">
      <c r="A17" s="222"/>
      <c r="B17" s="65"/>
      <c r="C17" s="42"/>
      <c r="D17" s="43"/>
      <c r="E17" s="44"/>
      <c r="F17" s="45"/>
      <c r="G17" s="69"/>
      <c r="H17" s="73"/>
      <c r="I17" s="43"/>
      <c r="J17" s="45"/>
      <c r="K17" s="45"/>
      <c r="L17" s="45"/>
      <c r="M17" s="77"/>
      <c r="N17" s="65" t="s">
        <v>40</v>
      </c>
      <c r="O17" s="46" t="s">
        <v>111</v>
      </c>
      <c r="P17" s="43"/>
      <c r="Q17" s="47">
        <v>2</v>
      </c>
      <c r="R17" s="85">
        <f>ROUNDUP(Q17*0.75,2)</f>
        <v>1.5</v>
      </c>
    </row>
    <row r="18" spans="1:18" ht="24.95" customHeight="1" x14ac:dyDescent="0.15">
      <c r="A18" s="222"/>
      <c r="B18" s="65"/>
      <c r="C18" s="42"/>
      <c r="D18" s="43"/>
      <c r="E18" s="44"/>
      <c r="F18" s="45"/>
      <c r="G18" s="69"/>
      <c r="H18" s="73"/>
      <c r="I18" s="43"/>
      <c r="J18" s="45"/>
      <c r="K18" s="45"/>
      <c r="L18" s="45"/>
      <c r="M18" s="77"/>
      <c r="N18" s="65"/>
      <c r="O18" s="46" t="s">
        <v>28</v>
      </c>
      <c r="P18" s="43" t="s">
        <v>29</v>
      </c>
      <c r="Q18" s="47">
        <v>1</v>
      </c>
      <c r="R18" s="85">
        <f>ROUNDUP(Q18*0.75,2)</f>
        <v>0.75</v>
      </c>
    </row>
    <row r="19" spans="1:18" ht="24.95" customHeight="1" x14ac:dyDescent="0.15">
      <c r="A19" s="222"/>
      <c r="B19" s="66"/>
      <c r="C19" s="49"/>
      <c r="D19" s="50"/>
      <c r="E19" s="51"/>
      <c r="F19" s="52"/>
      <c r="G19" s="70"/>
      <c r="H19" s="74"/>
      <c r="I19" s="50"/>
      <c r="J19" s="52"/>
      <c r="K19" s="52"/>
      <c r="L19" s="52"/>
      <c r="M19" s="78"/>
      <c r="N19" s="66"/>
      <c r="O19" s="53"/>
      <c r="P19" s="50"/>
      <c r="Q19" s="54"/>
      <c r="R19" s="84"/>
    </row>
    <row r="20" spans="1:18" ht="24.95" customHeight="1" x14ac:dyDescent="0.15">
      <c r="A20" s="222"/>
      <c r="B20" s="65" t="s">
        <v>80</v>
      </c>
      <c r="C20" s="42" t="s">
        <v>93</v>
      </c>
      <c r="D20" s="43"/>
      <c r="E20" s="44">
        <v>0.5</v>
      </c>
      <c r="F20" s="45" t="s">
        <v>23</v>
      </c>
      <c r="G20" s="69" t="s">
        <v>94</v>
      </c>
      <c r="H20" s="73" t="s">
        <v>93</v>
      </c>
      <c r="I20" s="43"/>
      <c r="J20" s="45">
        <f>ROUNDUP(E20*0.75,2)</f>
        <v>0.38</v>
      </c>
      <c r="K20" s="45" t="s">
        <v>23</v>
      </c>
      <c r="L20" s="45" t="s">
        <v>94</v>
      </c>
      <c r="M20" s="77" t="e">
        <f>#REF!</f>
        <v>#REF!</v>
      </c>
      <c r="N20" s="65" t="s">
        <v>40</v>
      </c>
      <c r="O20" s="46" t="s">
        <v>25</v>
      </c>
      <c r="P20" s="43"/>
      <c r="Q20" s="47">
        <v>100</v>
      </c>
      <c r="R20" s="85">
        <f>ROUNDUP(Q20*0.75,2)</f>
        <v>75</v>
      </c>
    </row>
    <row r="21" spans="1:18" ht="24.95" customHeight="1" x14ac:dyDescent="0.15">
      <c r="A21" s="222"/>
      <c r="B21" s="65"/>
      <c r="C21" s="42" t="s">
        <v>81</v>
      </c>
      <c r="D21" s="43"/>
      <c r="E21" s="44">
        <v>3</v>
      </c>
      <c r="F21" s="45" t="s">
        <v>23</v>
      </c>
      <c r="G21" s="69"/>
      <c r="H21" s="73" t="s">
        <v>81</v>
      </c>
      <c r="I21" s="43"/>
      <c r="J21" s="45">
        <f>ROUNDUP(E21*0.75,2)</f>
        <v>2.25</v>
      </c>
      <c r="K21" s="45" t="s">
        <v>23</v>
      </c>
      <c r="L21" s="45"/>
      <c r="M21" s="77" t="e">
        <f>ROUND(#REF!+(#REF!*40/100),2)</f>
        <v>#REF!</v>
      </c>
      <c r="N21" s="65"/>
      <c r="O21" s="46" t="s">
        <v>48</v>
      </c>
      <c r="P21" s="43"/>
      <c r="Q21" s="47">
        <v>3</v>
      </c>
      <c r="R21" s="85">
        <f>ROUNDUP(Q21*0.75,2)</f>
        <v>2.25</v>
      </c>
    </row>
    <row r="22" spans="1:18" ht="24.95" customHeight="1" x14ac:dyDescent="0.15">
      <c r="A22" s="222"/>
      <c r="B22" s="66"/>
      <c r="C22" s="49"/>
      <c r="D22" s="50"/>
      <c r="E22" s="51"/>
      <c r="F22" s="52"/>
      <c r="G22" s="70"/>
      <c r="H22" s="74"/>
      <c r="I22" s="50"/>
      <c r="J22" s="52"/>
      <c r="K22" s="52"/>
      <c r="L22" s="52"/>
      <c r="M22" s="78"/>
      <c r="N22" s="66"/>
      <c r="O22" s="53"/>
      <c r="P22" s="50"/>
      <c r="Q22" s="54"/>
      <c r="R22" s="84"/>
    </row>
    <row r="23" spans="1:18" ht="24.95" customHeight="1" x14ac:dyDescent="0.15">
      <c r="A23" s="222"/>
      <c r="B23" s="65" t="s">
        <v>131</v>
      </c>
      <c r="C23" s="42" t="s">
        <v>132</v>
      </c>
      <c r="D23" s="43"/>
      <c r="E23" s="56">
        <v>0.16666666666666666</v>
      </c>
      <c r="F23" s="45" t="s">
        <v>56</v>
      </c>
      <c r="G23" s="69"/>
      <c r="H23" s="73" t="s">
        <v>132</v>
      </c>
      <c r="I23" s="43"/>
      <c r="J23" s="45">
        <f>ROUNDUP(E23*0.75,2)</f>
        <v>0.13</v>
      </c>
      <c r="K23" s="45" t="s">
        <v>56</v>
      </c>
      <c r="L23" s="45"/>
      <c r="M23" s="77" t="e">
        <f>#REF!</f>
        <v>#REF!</v>
      </c>
      <c r="N23" s="65" t="s">
        <v>59</v>
      </c>
      <c r="O23" s="46"/>
      <c r="P23" s="43"/>
      <c r="Q23" s="47"/>
      <c r="R23" s="85"/>
    </row>
    <row r="24" spans="1:18" ht="24.95" customHeight="1" thickBot="1" x14ac:dyDescent="0.2">
      <c r="A24" s="223"/>
      <c r="B24" s="67"/>
      <c r="C24" s="57"/>
      <c r="D24" s="58"/>
      <c r="E24" s="59"/>
      <c r="F24" s="60"/>
      <c r="G24" s="71"/>
      <c r="H24" s="75"/>
      <c r="I24" s="58"/>
      <c r="J24" s="60"/>
      <c r="K24" s="60"/>
      <c r="L24" s="60"/>
      <c r="M24" s="79"/>
      <c r="N24" s="67"/>
      <c r="O24" s="61"/>
      <c r="P24" s="58"/>
      <c r="Q24" s="62"/>
      <c r="R24" s="86"/>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87.62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249</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30" customHeight="1" x14ac:dyDescent="0.15">
      <c r="A5" s="221" t="s">
        <v>61</v>
      </c>
      <c r="B5" s="64" t="s">
        <v>137</v>
      </c>
      <c r="C5" s="36" t="s">
        <v>76</v>
      </c>
      <c r="D5" s="37"/>
      <c r="E5" s="38">
        <v>30</v>
      </c>
      <c r="F5" s="39" t="s">
        <v>23</v>
      </c>
      <c r="G5" s="68" t="s">
        <v>35</v>
      </c>
      <c r="H5" s="72" t="s">
        <v>76</v>
      </c>
      <c r="I5" s="37"/>
      <c r="J5" s="39">
        <f t="shared" ref="J5:J10" si="0">ROUNDUP(E5*0.75,2)</f>
        <v>22.5</v>
      </c>
      <c r="K5" s="39" t="s">
        <v>23</v>
      </c>
      <c r="L5" s="39" t="s">
        <v>35</v>
      </c>
      <c r="M5" s="76" t="e">
        <f>#REF!</f>
        <v>#REF!</v>
      </c>
      <c r="N5" s="64" t="s">
        <v>138</v>
      </c>
      <c r="O5" s="40" t="s">
        <v>20</v>
      </c>
      <c r="P5" s="37"/>
      <c r="Q5" s="41">
        <v>110</v>
      </c>
      <c r="R5" s="83">
        <f t="shared" ref="R5:R10" si="1">ROUNDUP(Q5*0.75,2)</f>
        <v>82.5</v>
      </c>
    </row>
    <row r="6" spans="1:19" ht="30" customHeight="1" x14ac:dyDescent="0.15">
      <c r="A6" s="222"/>
      <c r="B6" s="65"/>
      <c r="C6" s="42" t="s">
        <v>44</v>
      </c>
      <c r="D6" s="43"/>
      <c r="E6" s="44">
        <v>30</v>
      </c>
      <c r="F6" s="45" t="s">
        <v>23</v>
      </c>
      <c r="G6" s="69"/>
      <c r="H6" s="73" t="s">
        <v>44</v>
      </c>
      <c r="I6" s="43"/>
      <c r="J6" s="45">
        <f t="shared" si="0"/>
        <v>22.5</v>
      </c>
      <c r="K6" s="45" t="s">
        <v>23</v>
      </c>
      <c r="L6" s="45"/>
      <c r="M6" s="77" t="e">
        <f>ROUND(#REF!+(#REF!*6/100),2)</f>
        <v>#REF!</v>
      </c>
      <c r="N6" s="65" t="s">
        <v>139</v>
      </c>
      <c r="O6" s="46" t="s">
        <v>27</v>
      </c>
      <c r="P6" s="43"/>
      <c r="Q6" s="47">
        <v>0.5</v>
      </c>
      <c r="R6" s="85">
        <f t="shared" si="1"/>
        <v>0.38</v>
      </c>
    </row>
    <row r="7" spans="1:19" ht="30" customHeight="1" x14ac:dyDescent="0.15">
      <c r="A7" s="222"/>
      <c r="B7" s="65"/>
      <c r="C7" s="42" t="s">
        <v>65</v>
      </c>
      <c r="D7" s="43"/>
      <c r="E7" s="44">
        <v>40</v>
      </c>
      <c r="F7" s="45" t="s">
        <v>23</v>
      </c>
      <c r="G7" s="69"/>
      <c r="H7" s="73" t="s">
        <v>65</v>
      </c>
      <c r="I7" s="43"/>
      <c r="J7" s="45">
        <f t="shared" si="0"/>
        <v>30</v>
      </c>
      <c r="K7" s="45" t="s">
        <v>23</v>
      </c>
      <c r="L7" s="45"/>
      <c r="M7" s="77" t="e">
        <f>ROUND(#REF!+(#REF!*10/100),2)</f>
        <v>#REF!</v>
      </c>
      <c r="N7" s="65" t="s">
        <v>140</v>
      </c>
      <c r="O7" s="46" t="s">
        <v>47</v>
      </c>
      <c r="P7" s="43"/>
      <c r="Q7" s="47">
        <v>1</v>
      </c>
      <c r="R7" s="85">
        <f t="shared" si="1"/>
        <v>0.75</v>
      </c>
    </row>
    <row r="8" spans="1:19" ht="30" customHeight="1" x14ac:dyDescent="0.15">
      <c r="A8" s="222"/>
      <c r="B8" s="65"/>
      <c r="C8" s="42" t="s">
        <v>69</v>
      </c>
      <c r="D8" s="43"/>
      <c r="E8" s="44">
        <v>10</v>
      </c>
      <c r="F8" s="45" t="s">
        <v>23</v>
      </c>
      <c r="G8" s="69"/>
      <c r="H8" s="73" t="s">
        <v>69</v>
      </c>
      <c r="I8" s="43"/>
      <c r="J8" s="45">
        <f t="shared" si="0"/>
        <v>7.5</v>
      </c>
      <c r="K8" s="45" t="s">
        <v>23</v>
      </c>
      <c r="L8" s="45"/>
      <c r="M8" s="77" t="e">
        <f>ROUND(#REF!+(#REF!*3/100),2)</f>
        <v>#REF!</v>
      </c>
      <c r="N8" s="65" t="s">
        <v>141</v>
      </c>
      <c r="O8" s="46" t="s">
        <v>73</v>
      </c>
      <c r="P8" s="43"/>
      <c r="Q8" s="47">
        <v>40</v>
      </c>
      <c r="R8" s="85">
        <f t="shared" si="1"/>
        <v>30</v>
      </c>
    </row>
    <row r="9" spans="1:19" ht="30" customHeight="1" x14ac:dyDescent="0.15">
      <c r="A9" s="222"/>
      <c r="B9" s="65"/>
      <c r="C9" s="42" t="s">
        <v>143</v>
      </c>
      <c r="D9" s="43" t="s">
        <v>29</v>
      </c>
      <c r="E9" s="44">
        <v>9</v>
      </c>
      <c r="F9" s="45" t="s">
        <v>23</v>
      </c>
      <c r="G9" s="69"/>
      <c r="H9" s="73" t="s">
        <v>143</v>
      </c>
      <c r="I9" s="43" t="s">
        <v>29</v>
      </c>
      <c r="J9" s="45">
        <f t="shared" si="0"/>
        <v>6.75</v>
      </c>
      <c r="K9" s="45" t="s">
        <v>23</v>
      </c>
      <c r="L9" s="45"/>
      <c r="M9" s="77" t="e">
        <f>#REF!</f>
        <v>#REF!</v>
      </c>
      <c r="N9" s="65" t="s">
        <v>286</v>
      </c>
      <c r="O9" s="46" t="s">
        <v>26</v>
      </c>
      <c r="P9" s="43"/>
      <c r="Q9" s="47">
        <v>0.5</v>
      </c>
      <c r="R9" s="85">
        <f t="shared" si="1"/>
        <v>0.38</v>
      </c>
    </row>
    <row r="10" spans="1:19" ht="30" customHeight="1" x14ac:dyDescent="0.15">
      <c r="A10" s="222"/>
      <c r="B10" s="65"/>
      <c r="C10" s="42" t="s">
        <v>62</v>
      </c>
      <c r="D10" s="43" t="s">
        <v>63</v>
      </c>
      <c r="E10" s="44">
        <v>30</v>
      </c>
      <c r="F10" s="45" t="s">
        <v>64</v>
      </c>
      <c r="G10" s="69" t="s">
        <v>22</v>
      </c>
      <c r="H10" s="73" t="s">
        <v>62</v>
      </c>
      <c r="I10" s="43" t="s">
        <v>63</v>
      </c>
      <c r="J10" s="45">
        <f t="shared" si="0"/>
        <v>22.5</v>
      </c>
      <c r="K10" s="45" t="s">
        <v>64</v>
      </c>
      <c r="L10" s="45" t="s">
        <v>22</v>
      </c>
      <c r="M10" s="77" t="e">
        <f>#REF!</f>
        <v>#REF!</v>
      </c>
      <c r="N10" s="65" t="s">
        <v>287</v>
      </c>
      <c r="O10" s="46" t="s">
        <v>105</v>
      </c>
      <c r="P10" s="43"/>
      <c r="Q10" s="47">
        <v>2</v>
      </c>
      <c r="R10" s="85">
        <f t="shared" si="1"/>
        <v>1.5</v>
      </c>
    </row>
    <row r="11" spans="1:19" ht="30" customHeight="1" x14ac:dyDescent="0.15">
      <c r="A11" s="222"/>
      <c r="B11" s="66"/>
      <c r="C11" s="49"/>
      <c r="D11" s="50"/>
      <c r="E11" s="51"/>
      <c r="F11" s="52"/>
      <c r="G11" s="70"/>
      <c r="H11" s="74"/>
      <c r="I11" s="50"/>
      <c r="J11" s="52"/>
      <c r="K11" s="52"/>
      <c r="L11" s="52"/>
      <c r="M11" s="78"/>
      <c r="N11" s="66" t="s">
        <v>40</v>
      </c>
      <c r="O11" s="53"/>
      <c r="P11" s="50"/>
      <c r="Q11" s="54"/>
      <c r="R11" s="84"/>
    </row>
    <row r="12" spans="1:19" ht="30" customHeight="1" x14ac:dyDescent="0.15">
      <c r="A12" s="222"/>
      <c r="B12" s="65" t="s">
        <v>250</v>
      </c>
      <c r="C12" s="42" t="s">
        <v>110</v>
      </c>
      <c r="D12" s="43"/>
      <c r="E12" s="44">
        <v>30</v>
      </c>
      <c r="F12" s="45" t="s">
        <v>23</v>
      </c>
      <c r="G12" s="69"/>
      <c r="H12" s="73" t="s">
        <v>110</v>
      </c>
      <c r="I12" s="43"/>
      <c r="J12" s="45">
        <f>ROUNDUP(E12*0.75,2)</f>
        <v>22.5</v>
      </c>
      <c r="K12" s="45" t="s">
        <v>23</v>
      </c>
      <c r="L12" s="45"/>
      <c r="M12" s="77" t="e">
        <f>ROUND(#REF!+(#REF!*2/100),2)</f>
        <v>#REF!</v>
      </c>
      <c r="N12" s="65" t="s">
        <v>145</v>
      </c>
      <c r="O12" s="46" t="s">
        <v>26</v>
      </c>
      <c r="P12" s="43"/>
      <c r="Q12" s="47">
        <v>1</v>
      </c>
      <c r="R12" s="85">
        <f>ROUNDUP(Q12*0.75,2)</f>
        <v>0.75</v>
      </c>
    </row>
    <row r="13" spans="1:19" ht="30" customHeight="1" x14ac:dyDescent="0.15">
      <c r="A13" s="222"/>
      <c r="B13" s="65"/>
      <c r="C13" s="42" t="s">
        <v>87</v>
      </c>
      <c r="D13" s="43"/>
      <c r="E13" s="44">
        <v>10</v>
      </c>
      <c r="F13" s="45" t="s">
        <v>23</v>
      </c>
      <c r="G13" s="69" t="s">
        <v>88</v>
      </c>
      <c r="H13" s="73" t="s">
        <v>87</v>
      </c>
      <c r="I13" s="43"/>
      <c r="J13" s="45">
        <f>ROUNDUP(E13*0.75,2)</f>
        <v>7.5</v>
      </c>
      <c r="K13" s="45" t="s">
        <v>23</v>
      </c>
      <c r="L13" s="45" t="s">
        <v>88</v>
      </c>
      <c r="M13" s="77" t="e">
        <f>#REF!</f>
        <v>#REF!</v>
      </c>
      <c r="N13" s="65" t="s">
        <v>146</v>
      </c>
      <c r="O13" s="46" t="s">
        <v>57</v>
      </c>
      <c r="P13" s="43"/>
      <c r="Q13" s="47">
        <v>0.1</v>
      </c>
      <c r="R13" s="85">
        <f>ROUNDUP(Q13*0.75,2)</f>
        <v>0.08</v>
      </c>
    </row>
    <row r="14" spans="1:19" ht="30" customHeight="1" x14ac:dyDescent="0.15">
      <c r="A14" s="222"/>
      <c r="B14" s="65"/>
      <c r="C14" s="42"/>
      <c r="D14" s="43"/>
      <c r="E14" s="44"/>
      <c r="F14" s="45"/>
      <c r="G14" s="69"/>
      <c r="H14" s="73"/>
      <c r="I14" s="43"/>
      <c r="J14" s="45"/>
      <c r="K14" s="45"/>
      <c r="L14" s="45"/>
      <c r="M14" s="77"/>
      <c r="N14" s="65" t="s">
        <v>40</v>
      </c>
      <c r="O14" s="46" t="s">
        <v>111</v>
      </c>
      <c r="P14" s="43"/>
      <c r="Q14" s="47">
        <v>2</v>
      </c>
      <c r="R14" s="85">
        <f>ROUNDUP(Q14*0.75,2)</f>
        <v>1.5</v>
      </c>
    </row>
    <row r="15" spans="1:19" ht="30" customHeight="1" x14ac:dyDescent="0.15">
      <c r="A15" s="222"/>
      <c r="B15" s="65"/>
      <c r="C15" s="42"/>
      <c r="D15" s="43"/>
      <c r="E15" s="44"/>
      <c r="F15" s="45"/>
      <c r="G15" s="69"/>
      <c r="H15" s="73"/>
      <c r="I15" s="43"/>
      <c r="J15" s="45"/>
      <c r="K15" s="45"/>
      <c r="L15" s="45"/>
      <c r="M15" s="77"/>
      <c r="N15" s="65"/>
      <c r="O15" s="46" t="s">
        <v>47</v>
      </c>
      <c r="P15" s="43"/>
      <c r="Q15" s="47">
        <v>2</v>
      </c>
      <c r="R15" s="85">
        <f>ROUNDUP(Q15*0.75,2)</f>
        <v>1.5</v>
      </c>
    </row>
    <row r="16" spans="1:19" ht="30" customHeight="1" x14ac:dyDescent="0.15">
      <c r="A16" s="222"/>
      <c r="B16" s="66"/>
      <c r="C16" s="49"/>
      <c r="D16" s="50"/>
      <c r="E16" s="51"/>
      <c r="F16" s="52"/>
      <c r="G16" s="70"/>
      <c r="H16" s="74"/>
      <c r="I16" s="50"/>
      <c r="J16" s="52"/>
      <c r="K16" s="52"/>
      <c r="L16" s="52"/>
      <c r="M16" s="78"/>
      <c r="N16" s="66"/>
      <c r="O16" s="53"/>
      <c r="P16" s="50"/>
      <c r="Q16" s="54"/>
      <c r="R16" s="84"/>
    </row>
    <row r="17" spans="1:18" ht="30" customHeight="1" x14ac:dyDescent="0.15">
      <c r="A17" s="222"/>
      <c r="B17" s="65" t="s">
        <v>82</v>
      </c>
      <c r="C17" s="42" t="s">
        <v>83</v>
      </c>
      <c r="D17" s="43"/>
      <c r="E17" s="55">
        <v>0.125</v>
      </c>
      <c r="F17" s="45" t="s">
        <v>56</v>
      </c>
      <c r="G17" s="69"/>
      <c r="H17" s="73" t="s">
        <v>83</v>
      </c>
      <c r="I17" s="43"/>
      <c r="J17" s="45">
        <f>ROUNDUP(E17*0.75,2)</f>
        <v>9.9999999999999992E-2</v>
      </c>
      <c r="K17" s="45" t="s">
        <v>56</v>
      </c>
      <c r="L17" s="45"/>
      <c r="M17" s="77" t="e">
        <f>#REF!</f>
        <v>#REF!</v>
      </c>
      <c r="N17" s="65" t="s">
        <v>59</v>
      </c>
      <c r="O17" s="46"/>
      <c r="P17" s="43"/>
      <c r="Q17" s="47"/>
      <c r="R17" s="85"/>
    </row>
    <row r="18" spans="1:18" ht="30" customHeight="1" thickBot="1" x14ac:dyDescent="0.2">
      <c r="A18" s="223"/>
      <c r="B18" s="67"/>
      <c r="C18" s="57"/>
      <c r="D18" s="58"/>
      <c r="E18" s="59"/>
      <c r="F18" s="60"/>
      <c r="G18" s="71"/>
      <c r="H18" s="75"/>
      <c r="I18" s="58"/>
      <c r="J18" s="60"/>
      <c r="K18" s="60"/>
      <c r="L18" s="60"/>
      <c r="M18" s="79"/>
      <c r="N18" s="67"/>
      <c r="O18" s="61"/>
      <c r="P18" s="58"/>
      <c r="Q18" s="62"/>
      <c r="R18" s="86"/>
    </row>
  </sheetData>
  <mergeCells count="4">
    <mergeCell ref="H1:N1"/>
    <mergeCell ref="A2:R2"/>
    <mergeCell ref="A3:F3"/>
    <mergeCell ref="A5:A18"/>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16" style="27" bestFit="1" customWidth="1"/>
    <col min="4" max="4" width="17.125" style="26" customWidth="1"/>
    <col min="5" max="5" width="8.125" style="29" customWidth="1"/>
    <col min="6" max="6" width="4" style="30" customWidth="1"/>
    <col min="7" max="7" width="10.25" style="30" hidden="1" customWidth="1"/>
    <col min="8" max="8" width="14.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251</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20</v>
      </c>
      <c r="C5" s="36"/>
      <c r="D5" s="37"/>
      <c r="E5" s="38"/>
      <c r="F5" s="39"/>
      <c r="G5" s="68"/>
      <c r="H5" s="72"/>
      <c r="I5" s="37"/>
      <c r="J5" s="39"/>
      <c r="K5" s="39"/>
      <c r="L5" s="39"/>
      <c r="M5" s="76"/>
      <c r="N5" s="64"/>
      <c r="O5" s="40" t="s">
        <v>20</v>
      </c>
      <c r="P5" s="37"/>
      <c r="Q5" s="41">
        <v>110</v>
      </c>
      <c r="R5" s="83">
        <f>ROUNDUP(Q5*0.75,2)</f>
        <v>82.5</v>
      </c>
    </row>
    <row r="6" spans="1:19" ht="24.95" customHeight="1" x14ac:dyDescent="0.15">
      <c r="A6" s="222"/>
      <c r="B6" s="66"/>
      <c r="C6" s="49"/>
      <c r="D6" s="50"/>
      <c r="E6" s="51"/>
      <c r="F6" s="52"/>
      <c r="G6" s="70"/>
      <c r="H6" s="74"/>
      <c r="I6" s="50"/>
      <c r="J6" s="52"/>
      <c r="K6" s="52"/>
      <c r="L6" s="52"/>
      <c r="M6" s="78"/>
      <c r="N6" s="66"/>
      <c r="O6" s="53"/>
      <c r="P6" s="50"/>
      <c r="Q6" s="54"/>
      <c r="R6" s="84"/>
    </row>
    <row r="7" spans="1:19" ht="24.95" customHeight="1" x14ac:dyDescent="0.15">
      <c r="A7" s="222"/>
      <c r="B7" s="65" t="s">
        <v>154</v>
      </c>
      <c r="C7" s="42" t="s">
        <v>159</v>
      </c>
      <c r="D7" s="43"/>
      <c r="E7" s="44">
        <v>1</v>
      </c>
      <c r="F7" s="45" t="s">
        <v>72</v>
      </c>
      <c r="G7" s="69" t="s">
        <v>160</v>
      </c>
      <c r="H7" s="73" t="s">
        <v>159</v>
      </c>
      <c r="I7" s="43"/>
      <c r="J7" s="45">
        <f>ROUNDUP(E7*0.75,2)</f>
        <v>0.75</v>
      </c>
      <c r="K7" s="45" t="s">
        <v>72</v>
      </c>
      <c r="L7" s="45" t="s">
        <v>160</v>
      </c>
      <c r="M7" s="77" t="e">
        <f>#REF!</f>
        <v>#REF!</v>
      </c>
      <c r="N7" s="65" t="s">
        <v>155</v>
      </c>
      <c r="O7" s="46" t="s">
        <v>103</v>
      </c>
      <c r="P7" s="43" t="s">
        <v>63</v>
      </c>
      <c r="Q7" s="47">
        <v>1</v>
      </c>
      <c r="R7" s="85">
        <f t="shared" ref="R7:R14" si="0">ROUNDUP(Q7*0.75,2)</f>
        <v>0.75</v>
      </c>
    </row>
    <row r="8" spans="1:19" ht="24.95" customHeight="1" x14ac:dyDescent="0.15">
      <c r="A8" s="222"/>
      <c r="B8" s="65"/>
      <c r="C8" s="42" t="s">
        <v>44</v>
      </c>
      <c r="D8" s="43"/>
      <c r="E8" s="44">
        <v>10</v>
      </c>
      <c r="F8" s="45" t="s">
        <v>23</v>
      </c>
      <c r="G8" s="69"/>
      <c r="H8" s="73" t="s">
        <v>44</v>
      </c>
      <c r="I8" s="43"/>
      <c r="J8" s="45">
        <f>ROUNDUP(E8*0.75,2)</f>
        <v>7.5</v>
      </c>
      <c r="K8" s="45" t="s">
        <v>23</v>
      </c>
      <c r="L8" s="45"/>
      <c r="M8" s="77" t="e">
        <f>ROUND(#REF!+(#REF!*6/100),2)</f>
        <v>#REF!</v>
      </c>
      <c r="N8" s="65" t="s">
        <v>268</v>
      </c>
      <c r="O8" s="46" t="s">
        <v>68</v>
      </c>
      <c r="P8" s="43" t="s">
        <v>29</v>
      </c>
      <c r="Q8" s="47">
        <v>2</v>
      </c>
      <c r="R8" s="85">
        <f t="shared" si="0"/>
        <v>1.5</v>
      </c>
    </row>
    <row r="9" spans="1:19" ht="24.95" customHeight="1" x14ac:dyDescent="0.15">
      <c r="A9" s="222"/>
      <c r="B9" s="65"/>
      <c r="C9" s="42" t="s">
        <v>161</v>
      </c>
      <c r="D9" s="43"/>
      <c r="E9" s="44">
        <v>10</v>
      </c>
      <c r="F9" s="45" t="s">
        <v>23</v>
      </c>
      <c r="G9" s="69"/>
      <c r="H9" s="73" t="s">
        <v>161</v>
      </c>
      <c r="I9" s="43"/>
      <c r="J9" s="45">
        <f>ROUNDUP(E9*0.75,2)</f>
        <v>7.5</v>
      </c>
      <c r="K9" s="45" t="s">
        <v>23</v>
      </c>
      <c r="L9" s="45"/>
      <c r="M9" s="77" t="e">
        <f>ROUND(#REF!+(#REF!*10/100),2)</f>
        <v>#REF!</v>
      </c>
      <c r="N9" s="65" t="s">
        <v>269</v>
      </c>
      <c r="O9" s="46" t="s">
        <v>57</v>
      </c>
      <c r="P9" s="43"/>
      <c r="Q9" s="47">
        <v>0.2</v>
      </c>
      <c r="R9" s="85">
        <f t="shared" si="0"/>
        <v>0.15</v>
      </c>
    </row>
    <row r="10" spans="1:19" ht="24.95" customHeight="1" x14ac:dyDescent="0.15">
      <c r="A10" s="222"/>
      <c r="B10" s="65"/>
      <c r="C10" s="42" t="s">
        <v>62</v>
      </c>
      <c r="D10" s="43" t="s">
        <v>63</v>
      </c>
      <c r="E10" s="44">
        <v>30</v>
      </c>
      <c r="F10" s="45" t="s">
        <v>64</v>
      </c>
      <c r="G10" s="69" t="s">
        <v>22</v>
      </c>
      <c r="H10" s="73" t="s">
        <v>62</v>
      </c>
      <c r="I10" s="43" t="s">
        <v>63</v>
      </c>
      <c r="J10" s="45">
        <f>ROUNDUP(E10*0.75,2)</f>
        <v>22.5</v>
      </c>
      <c r="K10" s="45" t="s">
        <v>64</v>
      </c>
      <c r="L10" s="45" t="s">
        <v>22</v>
      </c>
      <c r="M10" s="77" t="e">
        <f>#REF!</f>
        <v>#REF!</v>
      </c>
      <c r="N10" s="65" t="s">
        <v>156</v>
      </c>
      <c r="O10" s="46" t="s">
        <v>27</v>
      </c>
      <c r="P10" s="43"/>
      <c r="Q10" s="47">
        <v>0.5</v>
      </c>
      <c r="R10" s="85">
        <f t="shared" si="0"/>
        <v>0.38</v>
      </c>
    </row>
    <row r="11" spans="1:19" ht="24.95" customHeight="1" x14ac:dyDescent="0.15">
      <c r="A11" s="222"/>
      <c r="B11" s="65"/>
      <c r="C11" s="42" t="s">
        <v>45</v>
      </c>
      <c r="D11" s="43" t="s">
        <v>29</v>
      </c>
      <c r="E11" s="44">
        <v>3</v>
      </c>
      <c r="F11" s="45" t="s">
        <v>23</v>
      </c>
      <c r="G11" s="69" t="s">
        <v>46</v>
      </c>
      <c r="H11" s="73" t="s">
        <v>45</v>
      </c>
      <c r="I11" s="43" t="s">
        <v>29</v>
      </c>
      <c r="J11" s="45">
        <f>ROUNDUP(E11*0.75,2)</f>
        <v>2.25</v>
      </c>
      <c r="K11" s="45" t="s">
        <v>23</v>
      </c>
      <c r="L11" s="45" t="s">
        <v>46</v>
      </c>
      <c r="M11" s="77" t="e">
        <f>#REF!</f>
        <v>#REF!</v>
      </c>
      <c r="N11" s="65" t="s">
        <v>157</v>
      </c>
      <c r="O11" s="46" t="s">
        <v>47</v>
      </c>
      <c r="P11" s="43"/>
      <c r="Q11" s="47">
        <v>1</v>
      </c>
      <c r="R11" s="85">
        <f t="shared" si="0"/>
        <v>0.75</v>
      </c>
    </row>
    <row r="12" spans="1:19" ht="24.95" customHeight="1" x14ac:dyDescent="0.15">
      <c r="A12" s="222"/>
      <c r="B12" s="65"/>
      <c r="C12" s="42"/>
      <c r="D12" s="43"/>
      <c r="E12" s="44"/>
      <c r="F12" s="45"/>
      <c r="G12" s="69"/>
      <c r="H12" s="73"/>
      <c r="I12" s="43"/>
      <c r="J12" s="45"/>
      <c r="K12" s="45"/>
      <c r="L12" s="45"/>
      <c r="M12" s="77"/>
      <c r="N12" s="65" t="s">
        <v>158</v>
      </c>
      <c r="O12" s="46" t="s">
        <v>47</v>
      </c>
      <c r="P12" s="43"/>
      <c r="Q12" s="47">
        <v>1</v>
      </c>
      <c r="R12" s="85">
        <f t="shared" si="0"/>
        <v>0.75</v>
      </c>
    </row>
    <row r="13" spans="1:19" ht="24.95" customHeight="1" x14ac:dyDescent="0.15">
      <c r="A13" s="222"/>
      <c r="B13" s="65"/>
      <c r="C13" s="42"/>
      <c r="D13" s="43"/>
      <c r="E13" s="44"/>
      <c r="F13" s="45"/>
      <c r="G13" s="69"/>
      <c r="H13" s="73"/>
      <c r="I13" s="43"/>
      <c r="J13" s="45"/>
      <c r="K13" s="45"/>
      <c r="L13" s="45"/>
      <c r="M13" s="77"/>
      <c r="N13" s="65" t="s">
        <v>288</v>
      </c>
      <c r="O13" s="46" t="s">
        <v>57</v>
      </c>
      <c r="P13" s="43"/>
      <c r="Q13" s="47">
        <v>0.2</v>
      </c>
      <c r="R13" s="85">
        <f t="shared" si="0"/>
        <v>0.15</v>
      </c>
    </row>
    <row r="14" spans="1:19" ht="24.95" customHeight="1" x14ac:dyDescent="0.15">
      <c r="A14" s="222"/>
      <c r="B14" s="65"/>
      <c r="C14" s="42"/>
      <c r="D14" s="43"/>
      <c r="E14" s="44"/>
      <c r="F14" s="45"/>
      <c r="G14" s="69"/>
      <c r="H14" s="73"/>
      <c r="I14" s="43"/>
      <c r="J14" s="45"/>
      <c r="K14" s="45"/>
      <c r="L14" s="45"/>
      <c r="M14" s="77"/>
      <c r="N14" s="65" t="s">
        <v>289</v>
      </c>
      <c r="O14" s="46" t="s">
        <v>79</v>
      </c>
      <c r="P14" s="43"/>
      <c r="Q14" s="47">
        <v>0.01</v>
      </c>
      <c r="R14" s="85">
        <f t="shared" si="0"/>
        <v>0.01</v>
      </c>
    </row>
    <row r="15" spans="1:19" ht="24.95" customHeight="1" x14ac:dyDescent="0.15">
      <c r="A15" s="222"/>
      <c r="B15" s="66"/>
      <c r="C15" s="49"/>
      <c r="D15" s="50"/>
      <c r="E15" s="51"/>
      <c r="F15" s="52"/>
      <c r="G15" s="70"/>
      <c r="H15" s="74"/>
      <c r="I15" s="50"/>
      <c r="J15" s="52"/>
      <c r="K15" s="52"/>
      <c r="L15" s="52"/>
      <c r="M15" s="78"/>
      <c r="N15" s="66" t="s">
        <v>40</v>
      </c>
      <c r="O15" s="53"/>
      <c r="P15" s="50"/>
      <c r="Q15" s="54"/>
      <c r="R15" s="84"/>
    </row>
    <row r="16" spans="1:19" ht="24.95" customHeight="1" x14ac:dyDescent="0.15">
      <c r="A16" s="222"/>
      <c r="B16" s="65" t="s">
        <v>162</v>
      </c>
      <c r="C16" s="42" t="s">
        <v>74</v>
      </c>
      <c r="D16" s="43"/>
      <c r="E16" s="44">
        <v>50</v>
      </c>
      <c r="F16" s="45" t="s">
        <v>23</v>
      </c>
      <c r="G16" s="69"/>
      <c r="H16" s="73" t="s">
        <v>74</v>
      </c>
      <c r="I16" s="43"/>
      <c r="J16" s="45">
        <f>ROUNDUP(E16*0.75,2)</f>
        <v>37.5</v>
      </c>
      <c r="K16" s="45" t="s">
        <v>23</v>
      </c>
      <c r="L16" s="45"/>
      <c r="M16" s="77" t="e">
        <f>ROUND(#REF!+(#REF!*10/100),2)</f>
        <v>#REF!</v>
      </c>
      <c r="N16" s="65" t="s">
        <v>163</v>
      </c>
      <c r="O16" s="46" t="s">
        <v>73</v>
      </c>
      <c r="P16" s="43"/>
      <c r="Q16" s="47">
        <v>20</v>
      </c>
      <c r="R16" s="85">
        <f>ROUNDUP(Q16*0.75,2)</f>
        <v>15</v>
      </c>
    </row>
    <row r="17" spans="1:18" ht="24.95" customHeight="1" x14ac:dyDescent="0.15">
      <c r="A17" s="222"/>
      <c r="B17" s="65"/>
      <c r="C17" s="42"/>
      <c r="D17" s="43"/>
      <c r="E17" s="44"/>
      <c r="F17" s="45"/>
      <c r="G17" s="69"/>
      <c r="H17" s="73"/>
      <c r="I17" s="43"/>
      <c r="J17" s="45"/>
      <c r="K17" s="45"/>
      <c r="L17" s="45"/>
      <c r="M17" s="77"/>
      <c r="N17" s="65" t="s">
        <v>301</v>
      </c>
      <c r="O17" s="46" t="s">
        <v>57</v>
      </c>
      <c r="P17" s="43"/>
      <c r="Q17" s="47">
        <v>0.1</v>
      </c>
      <c r="R17" s="85">
        <f>ROUNDUP(Q17*0.75,2)</f>
        <v>0.08</v>
      </c>
    </row>
    <row r="18" spans="1:18" ht="24.95" customHeight="1" x14ac:dyDescent="0.15">
      <c r="A18" s="222"/>
      <c r="B18" s="65"/>
      <c r="C18" s="42"/>
      <c r="D18" s="43"/>
      <c r="E18" s="44"/>
      <c r="F18" s="45"/>
      <c r="G18" s="69"/>
      <c r="H18" s="73"/>
      <c r="I18" s="43"/>
      <c r="J18" s="45"/>
      <c r="K18" s="45"/>
      <c r="L18" s="45"/>
      <c r="M18" s="77"/>
      <c r="N18" s="65" t="s">
        <v>302</v>
      </c>
      <c r="O18" s="46" t="s">
        <v>26</v>
      </c>
      <c r="P18" s="43"/>
      <c r="Q18" s="47">
        <v>1</v>
      </c>
      <c r="R18" s="85">
        <f>ROUNDUP(Q18*0.75,2)</f>
        <v>0.75</v>
      </c>
    </row>
    <row r="19" spans="1:18" ht="24.95" customHeight="1" x14ac:dyDescent="0.15">
      <c r="A19" s="222"/>
      <c r="B19" s="65"/>
      <c r="C19" s="42"/>
      <c r="D19" s="43"/>
      <c r="E19" s="44"/>
      <c r="F19" s="45"/>
      <c r="G19" s="69"/>
      <c r="H19" s="73"/>
      <c r="I19" s="43"/>
      <c r="J19" s="45"/>
      <c r="K19" s="45"/>
      <c r="L19" s="45"/>
      <c r="M19" s="77"/>
      <c r="N19" s="65" t="s">
        <v>164</v>
      </c>
      <c r="O19" s="46" t="s">
        <v>103</v>
      </c>
      <c r="P19" s="43" t="s">
        <v>63</v>
      </c>
      <c r="Q19" s="47">
        <v>1</v>
      </c>
      <c r="R19" s="85">
        <f>ROUNDUP(Q19*0.75,2)</f>
        <v>0.75</v>
      </c>
    </row>
    <row r="20" spans="1:18" ht="24.95" customHeight="1" x14ac:dyDescent="0.15">
      <c r="A20" s="222"/>
      <c r="B20" s="66"/>
      <c r="C20" s="49"/>
      <c r="D20" s="50"/>
      <c r="E20" s="51"/>
      <c r="F20" s="52"/>
      <c r="G20" s="70"/>
      <c r="H20" s="74"/>
      <c r="I20" s="50"/>
      <c r="J20" s="52"/>
      <c r="K20" s="52"/>
      <c r="L20" s="52"/>
      <c r="M20" s="78"/>
      <c r="N20" s="66" t="s">
        <v>40</v>
      </c>
      <c r="O20" s="53"/>
      <c r="P20" s="50"/>
      <c r="Q20" s="54"/>
      <c r="R20" s="84"/>
    </row>
    <row r="21" spans="1:18" ht="24.95" customHeight="1" x14ac:dyDescent="0.15">
      <c r="A21" s="222"/>
      <c r="B21" s="65" t="s">
        <v>112</v>
      </c>
      <c r="C21" s="42" t="s">
        <v>188</v>
      </c>
      <c r="D21" s="43"/>
      <c r="E21" s="44">
        <v>20</v>
      </c>
      <c r="F21" s="45" t="s">
        <v>23</v>
      </c>
      <c r="G21" s="69"/>
      <c r="H21" s="73" t="s">
        <v>188</v>
      </c>
      <c r="I21" s="43"/>
      <c r="J21" s="45">
        <f>ROUNDUP(E21*0.75,2)</f>
        <v>15</v>
      </c>
      <c r="K21" s="45" t="s">
        <v>23</v>
      </c>
      <c r="L21" s="45"/>
      <c r="M21" s="77" t="e">
        <f>ROUND(#REF!+(#REF!*3/100),2)</f>
        <v>#REF!</v>
      </c>
      <c r="N21" s="65" t="s">
        <v>40</v>
      </c>
      <c r="O21" s="46" t="s">
        <v>73</v>
      </c>
      <c r="P21" s="43"/>
      <c r="Q21" s="47">
        <v>100</v>
      </c>
      <c r="R21" s="85">
        <f>ROUNDUP(Q21*0.75,2)</f>
        <v>75</v>
      </c>
    </row>
    <row r="22" spans="1:18" ht="24.95" customHeight="1" x14ac:dyDescent="0.15">
      <c r="A22" s="222"/>
      <c r="B22" s="65"/>
      <c r="C22" s="42" t="s">
        <v>69</v>
      </c>
      <c r="D22" s="43"/>
      <c r="E22" s="44">
        <v>5</v>
      </c>
      <c r="F22" s="45" t="s">
        <v>23</v>
      </c>
      <c r="G22" s="69"/>
      <c r="H22" s="73" t="s">
        <v>69</v>
      </c>
      <c r="I22" s="43"/>
      <c r="J22" s="45">
        <f>ROUNDUP(E22*0.75,2)</f>
        <v>3.75</v>
      </c>
      <c r="K22" s="45" t="s">
        <v>23</v>
      </c>
      <c r="L22" s="45"/>
      <c r="M22" s="77" t="e">
        <f>ROUND(#REF!+(#REF!*3/100),2)</f>
        <v>#REF!</v>
      </c>
      <c r="N22" s="65"/>
      <c r="O22" s="46" t="s">
        <v>57</v>
      </c>
      <c r="P22" s="43"/>
      <c r="Q22" s="47">
        <v>0.1</v>
      </c>
      <c r="R22" s="85">
        <f>ROUNDUP(Q22*0.75,2)</f>
        <v>0.08</v>
      </c>
    </row>
    <row r="23" spans="1:18" ht="24.95" customHeight="1" x14ac:dyDescent="0.15">
      <c r="A23" s="222"/>
      <c r="B23" s="65"/>
      <c r="C23" s="42"/>
      <c r="D23" s="43"/>
      <c r="E23" s="44"/>
      <c r="F23" s="45"/>
      <c r="G23" s="69"/>
      <c r="H23" s="73"/>
      <c r="I23" s="43"/>
      <c r="J23" s="45"/>
      <c r="K23" s="45"/>
      <c r="L23" s="45"/>
      <c r="M23" s="77"/>
      <c r="N23" s="65"/>
      <c r="O23" s="46" t="s">
        <v>114</v>
      </c>
      <c r="P23" s="43" t="s">
        <v>115</v>
      </c>
      <c r="Q23" s="47">
        <v>0.5</v>
      </c>
      <c r="R23" s="85">
        <f>ROUNDUP(Q23*0.75,2)</f>
        <v>0.38</v>
      </c>
    </row>
    <row r="24" spans="1:18" ht="24.95" customHeight="1" x14ac:dyDescent="0.15">
      <c r="A24" s="222"/>
      <c r="B24" s="66"/>
      <c r="C24" s="49"/>
      <c r="D24" s="50"/>
      <c r="E24" s="51"/>
      <c r="F24" s="52"/>
      <c r="G24" s="70"/>
      <c r="H24" s="74"/>
      <c r="I24" s="50"/>
      <c r="J24" s="52"/>
      <c r="K24" s="52"/>
      <c r="L24" s="52"/>
      <c r="M24" s="78"/>
      <c r="N24" s="66"/>
      <c r="O24" s="53"/>
      <c r="P24" s="50"/>
      <c r="Q24" s="54"/>
      <c r="R24" s="84"/>
    </row>
    <row r="25" spans="1:18" ht="24.95" customHeight="1" x14ac:dyDescent="0.15">
      <c r="A25" s="222"/>
      <c r="B25" s="65" t="s">
        <v>189</v>
      </c>
      <c r="C25" s="42" t="s">
        <v>190</v>
      </c>
      <c r="D25" s="43"/>
      <c r="E25" s="81">
        <v>0.25</v>
      </c>
      <c r="F25" s="45" t="s">
        <v>133</v>
      </c>
      <c r="G25" s="69"/>
      <c r="H25" s="73" t="s">
        <v>190</v>
      </c>
      <c r="I25" s="43"/>
      <c r="J25" s="45">
        <f>ROUNDUP(E25*0.75,2)</f>
        <v>0.19</v>
      </c>
      <c r="K25" s="45" t="s">
        <v>133</v>
      </c>
      <c r="L25" s="45"/>
      <c r="M25" s="77" t="e">
        <f>#REF!</f>
        <v>#REF!</v>
      </c>
      <c r="N25" s="65" t="s">
        <v>59</v>
      </c>
      <c r="O25" s="46"/>
      <c r="P25" s="43"/>
      <c r="Q25" s="47"/>
      <c r="R25" s="85"/>
    </row>
    <row r="26" spans="1:18" ht="24.95" customHeight="1" thickBot="1" x14ac:dyDescent="0.2">
      <c r="A26" s="223"/>
      <c r="B26" s="67"/>
      <c r="C26" s="57"/>
      <c r="D26" s="58"/>
      <c r="E26" s="59"/>
      <c r="F26" s="60"/>
      <c r="G26" s="71"/>
      <c r="H26" s="75"/>
      <c r="I26" s="58"/>
      <c r="J26" s="60"/>
      <c r="K26" s="60"/>
      <c r="L26" s="60"/>
      <c r="M26" s="79"/>
      <c r="N26" s="67"/>
      <c r="O26" s="61"/>
      <c r="P26" s="58"/>
      <c r="Q26" s="62"/>
      <c r="R26" s="86"/>
    </row>
  </sheetData>
  <mergeCells count="4">
    <mergeCell ref="H1:N1"/>
    <mergeCell ref="A2:R2"/>
    <mergeCell ref="A3:F3"/>
    <mergeCell ref="A5:A26"/>
  </mergeCells>
  <phoneticPr fontId="16"/>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1.375" style="27" bestFit="1" customWidth="1"/>
    <col min="4" max="4" width="17.125" style="26" customWidth="1"/>
    <col min="5" max="5" width="8.125" style="29" customWidth="1"/>
    <col min="6" max="6" width="4" style="30" customWidth="1"/>
    <col min="7" max="7" width="10.25" style="30" hidden="1" customWidth="1"/>
    <col min="8" max="8" width="18.87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5.7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252</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169</v>
      </c>
      <c r="C5" s="36" t="s">
        <v>101</v>
      </c>
      <c r="D5" s="37" t="s">
        <v>29</v>
      </c>
      <c r="E5" s="38">
        <v>40</v>
      </c>
      <c r="F5" s="39" t="s">
        <v>23</v>
      </c>
      <c r="G5" s="68" t="s">
        <v>102</v>
      </c>
      <c r="H5" s="72" t="s">
        <v>101</v>
      </c>
      <c r="I5" s="37" t="s">
        <v>29</v>
      </c>
      <c r="J5" s="39">
        <f>ROUNDUP(E5*0.75,2)</f>
        <v>30</v>
      </c>
      <c r="K5" s="39" t="s">
        <v>23</v>
      </c>
      <c r="L5" s="39" t="s">
        <v>102</v>
      </c>
      <c r="M5" s="76" t="e">
        <f>#REF!</f>
        <v>#REF!</v>
      </c>
      <c r="N5" s="64" t="s">
        <v>170</v>
      </c>
      <c r="O5" s="40" t="s">
        <v>103</v>
      </c>
      <c r="P5" s="37" t="s">
        <v>63</v>
      </c>
      <c r="Q5" s="41">
        <v>0.5</v>
      </c>
      <c r="R5" s="83">
        <f t="shared" ref="R5:R12" si="0">ROUNDUP(Q5*0.75,2)</f>
        <v>0.38</v>
      </c>
    </row>
    <row r="6" spans="1:19" ht="24.95" customHeight="1" x14ac:dyDescent="0.15">
      <c r="A6" s="222"/>
      <c r="B6" s="65"/>
      <c r="C6" s="42" t="s">
        <v>175</v>
      </c>
      <c r="D6" s="43"/>
      <c r="E6" s="44">
        <v>40</v>
      </c>
      <c r="F6" s="45" t="s">
        <v>23</v>
      </c>
      <c r="G6" s="69" t="s">
        <v>35</v>
      </c>
      <c r="H6" s="73" t="s">
        <v>175</v>
      </c>
      <c r="I6" s="43"/>
      <c r="J6" s="45">
        <f>ROUNDUP(E6*0.75,2)</f>
        <v>30</v>
      </c>
      <c r="K6" s="45" t="s">
        <v>23</v>
      </c>
      <c r="L6" s="45" t="s">
        <v>35</v>
      </c>
      <c r="M6" s="77" t="e">
        <f>#REF!</f>
        <v>#REF!</v>
      </c>
      <c r="N6" s="65" t="s">
        <v>171</v>
      </c>
      <c r="O6" s="46" t="s">
        <v>47</v>
      </c>
      <c r="P6" s="43"/>
      <c r="Q6" s="47">
        <v>2</v>
      </c>
      <c r="R6" s="85">
        <f t="shared" si="0"/>
        <v>1.5</v>
      </c>
    </row>
    <row r="7" spans="1:19" ht="24.95" customHeight="1" x14ac:dyDescent="0.15">
      <c r="A7" s="222"/>
      <c r="B7" s="65"/>
      <c r="C7" s="42" t="s">
        <v>44</v>
      </c>
      <c r="D7" s="43"/>
      <c r="E7" s="44">
        <v>30</v>
      </c>
      <c r="F7" s="45" t="s">
        <v>23</v>
      </c>
      <c r="G7" s="69"/>
      <c r="H7" s="73" t="s">
        <v>44</v>
      </c>
      <c r="I7" s="43"/>
      <c r="J7" s="45">
        <f>ROUNDUP(E7*0.75,2)</f>
        <v>22.5</v>
      </c>
      <c r="K7" s="45" t="s">
        <v>23</v>
      </c>
      <c r="L7" s="45"/>
      <c r="M7" s="77" t="e">
        <f>ROUND(#REF!+(#REF!*6/100),2)</f>
        <v>#REF!</v>
      </c>
      <c r="N7" s="65" t="s">
        <v>172</v>
      </c>
      <c r="O7" s="46" t="s">
        <v>68</v>
      </c>
      <c r="P7" s="43" t="s">
        <v>29</v>
      </c>
      <c r="Q7" s="47">
        <v>2</v>
      </c>
      <c r="R7" s="85">
        <f t="shared" si="0"/>
        <v>1.5</v>
      </c>
    </row>
    <row r="8" spans="1:19" ht="24.95" customHeight="1" x14ac:dyDescent="0.15">
      <c r="A8" s="222"/>
      <c r="B8" s="65"/>
      <c r="C8" s="42" t="s">
        <v>69</v>
      </c>
      <c r="D8" s="43"/>
      <c r="E8" s="44">
        <v>10</v>
      </c>
      <c r="F8" s="45" t="s">
        <v>23</v>
      </c>
      <c r="G8" s="69"/>
      <c r="H8" s="73" t="s">
        <v>69</v>
      </c>
      <c r="I8" s="43"/>
      <c r="J8" s="45">
        <f>ROUNDUP(E8*0.75,2)</f>
        <v>7.5</v>
      </c>
      <c r="K8" s="45" t="s">
        <v>23</v>
      </c>
      <c r="L8" s="45"/>
      <c r="M8" s="77" t="e">
        <f>ROUND(#REF!+(#REF!*3/100),2)</f>
        <v>#REF!</v>
      </c>
      <c r="N8" s="65" t="s">
        <v>173</v>
      </c>
      <c r="O8" s="46" t="s">
        <v>73</v>
      </c>
      <c r="P8" s="43"/>
      <c r="Q8" s="47">
        <v>30</v>
      </c>
      <c r="R8" s="85">
        <f t="shared" si="0"/>
        <v>22.5</v>
      </c>
    </row>
    <row r="9" spans="1:19" ht="24.95" customHeight="1" x14ac:dyDescent="0.15">
      <c r="A9" s="222"/>
      <c r="B9" s="65"/>
      <c r="C9" s="42" t="s">
        <v>107</v>
      </c>
      <c r="D9" s="43"/>
      <c r="E9" s="44">
        <v>5</v>
      </c>
      <c r="F9" s="45" t="s">
        <v>23</v>
      </c>
      <c r="G9" s="69" t="s">
        <v>31</v>
      </c>
      <c r="H9" s="73" t="s">
        <v>107</v>
      </c>
      <c r="I9" s="43"/>
      <c r="J9" s="45">
        <f>ROUNDUP(E9*0.75,2)</f>
        <v>3.75</v>
      </c>
      <c r="K9" s="45" t="s">
        <v>23</v>
      </c>
      <c r="L9" s="45" t="s">
        <v>31</v>
      </c>
      <c r="M9" s="77" t="e">
        <f>#REF!</f>
        <v>#REF!</v>
      </c>
      <c r="N9" s="65" t="s">
        <v>174</v>
      </c>
      <c r="O9" s="46" t="s">
        <v>27</v>
      </c>
      <c r="P9" s="43"/>
      <c r="Q9" s="47">
        <v>1</v>
      </c>
      <c r="R9" s="85">
        <f t="shared" si="0"/>
        <v>0.75</v>
      </c>
    </row>
    <row r="10" spans="1:19" ht="24.95" customHeight="1" x14ac:dyDescent="0.15">
      <c r="A10" s="222"/>
      <c r="B10" s="65"/>
      <c r="C10" s="42"/>
      <c r="D10" s="43"/>
      <c r="E10" s="44"/>
      <c r="F10" s="45"/>
      <c r="G10" s="69"/>
      <c r="H10" s="73"/>
      <c r="I10" s="43"/>
      <c r="J10" s="45"/>
      <c r="K10" s="45"/>
      <c r="L10" s="45"/>
      <c r="M10" s="77"/>
      <c r="N10" s="65" t="s">
        <v>40</v>
      </c>
      <c r="O10" s="46" t="s">
        <v>105</v>
      </c>
      <c r="P10" s="43"/>
      <c r="Q10" s="47">
        <v>15</v>
      </c>
      <c r="R10" s="85">
        <f t="shared" si="0"/>
        <v>11.25</v>
      </c>
    </row>
    <row r="11" spans="1:19" ht="24.95" customHeight="1" x14ac:dyDescent="0.15">
      <c r="A11" s="222"/>
      <c r="B11" s="65"/>
      <c r="C11" s="42"/>
      <c r="D11" s="43"/>
      <c r="E11" s="44"/>
      <c r="F11" s="45"/>
      <c r="G11" s="69"/>
      <c r="H11" s="73"/>
      <c r="I11" s="43"/>
      <c r="J11" s="45"/>
      <c r="K11" s="45"/>
      <c r="L11" s="45"/>
      <c r="M11" s="77"/>
      <c r="N11" s="65"/>
      <c r="O11" s="46" t="s">
        <v>106</v>
      </c>
      <c r="P11" s="43"/>
      <c r="Q11" s="47">
        <v>2</v>
      </c>
      <c r="R11" s="85">
        <f t="shared" si="0"/>
        <v>1.5</v>
      </c>
    </row>
    <row r="12" spans="1:19" ht="24.95" customHeight="1" x14ac:dyDescent="0.15">
      <c r="A12" s="222"/>
      <c r="B12" s="65"/>
      <c r="C12" s="42"/>
      <c r="D12" s="43"/>
      <c r="E12" s="44"/>
      <c r="F12" s="45"/>
      <c r="G12" s="69"/>
      <c r="H12" s="73"/>
      <c r="I12" s="43"/>
      <c r="J12" s="45"/>
      <c r="K12" s="45"/>
      <c r="L12" s="45"/>
      <c r="M12" s="77"/>
      <c r="N12" s="65"/>
      <c r="O12" s="46" t="s">
        <v>26</v>
      </c>
      <c r="P12" s="43"/>
      <c r="Q12" s="47">
        <v>0.5</v>
      </c>
      <c r="R12" s="85">
        <f t="shared" si="0"/>
        <v>0.38</v>
      </c>
    </row>
    <row r="13" spans="1:19" ht="24.95" customHeight="1" x14ac:dyDescent="0.15">
      <c r="A13" s="222"/>
      <c r="B13" s="66"/>
      <c r="C13" s="49"/>
      <c r="D13" s="50"/>
      <c r="E13" s="51"/>
      <c r="F13" s="52"/>
      <c r="G13" s="70"/>
      <c r="H13" s="74"/>
      <c r="I13" s="50"/>
      <c r="J13" s="52"/>
      <c r="K13" s="52"/>
      <c r="L13" s="52"/>
      <c r="M13" s="78"/>
      <c r="N13" s="66"/>
      <c r="O13" s="53"/>
      <c r="P13" s="50"/>
      <c r="Q13" s="54"/>
      <c r="R13" s="84"/>
    </row>
    <row r="14" spans="1:19" ht="24.95" customHeight="1" x14ac:dyDescent="0.15">
      <c r="A14" s="222"/>
      <c r="B14" s="65" t="s">
        <v>176</v>
      </c>
      <c r="C14" s="42" t="s">
        <v>53</v>
      </c>
      <c r="D14" s="43"/>
      <c r="E14" s="44">
        <v>20</v>
      </c>
      <c r="F14" s="45" t="s">
        <v>23</v>
      </c>
      <c r="G14" s="69"/>
      <c r="H14" s="73" t="s">
        <v>53</v>
      </c>
      <c r="I14" s="43"/>
      <c r="J14" s="45">
        <f>ROUNDUP(E14*0.75,2)</f>
        <v>15</v>
      </c>
      <c r="K14" s="45" t="s">
        <v>23</v>
      </c>
      <c r="L14" s="45"/>
      <c r="M14" s="77" t="e">
        <f>ROUND(#REF!+(#REF!*10/100),2)</f>
        <v>#REF!</v>
      </c>
      <c r="N14" s="65" t="s">
        <v>290</v>
      </c>
      <c r="O14" s="46" t="s">
        <v>26</v>
      </c>
      <c r="P14" s="43"/>
      <c r="Q14" s="47">
        <v>0.3</v>
      </c>
      <c r="R14" s="85">
        <f>ROUNDUP(Q14*0.75,2)</f>
        <v>0.23</v>
      </c>
    </row>
    <row r="15" spans="1:19" ht="24.95" customHeight="1" x14ac:dyDescent="0.15">
      <c r="A15" s="222"/>
      <c r="B15" s="65"/>
      <c r="C15" s="42" t="s">
        <v>177</v>
      </c>
      <c r="D15" s="43"/>
      <c r="E15" s="44">
        <v>10</v>
      </c>
      <c r="F15" s="45" t="s">
        <v>23</v>
      </c>
      <c r="G15" s="69"/>
      <c r="H15" s="73" t="s">
        <v>177</v>
      </c>
      <c r="I15" s="43"/>
      <c r="J15" s="45">
        <f>ROUNDUP(E15*0.75,2)</f>
        <v>7.5</v>
      </c>
      <c r="K15" s="45" t="s">
        <v>23</v>
      </c>
      <c r="L15" s="45"/>
      <c r="M15" s="77" t="e">
        <f>ROUND(#REF!+(#REF!*50/100),2)</f>
        <v>#REF!</v>
      </c>
      <c r="N15" s="65" t="s">
        <v>273</v>
      </c>
      <c r="O15" s="46" t="s">
        <v>57</v>
      </c>
      <c r="P15" s="43"/>
      <c r="Q15" s="47">
        <v>0.1</v>
      </c>
      <c r="R15" s="85">
        <f>ROUNDUP(Q15*0.75,2)</f>
        <v>0.08</v>
      </c>
    </row>
    <row r="16" spans="1:19" ht="24.95" customHeight="1" x14ac:dyDescent="0.15">
      <c r="A16" s="222"/>
      <c r="B16" s="65"/>
      <c r="C16" s="42" t="s">
        <v>129</v>
      </c>
      <c r="D16" s="43"/>
      <c r="E16" s="44">
        <v>10</v>
      </c>
      <c r="F16" s="45" t="s">
        <v>23</v>
      </c>
      <c r="G16" s="69" t="s">
        <v>130</v>
      </c>
      <c r="H16" s="73" t="s">
        <v>129</v>
      </c>
      <c r="I16" s="43"/>
      <c r="J16" s="45">
        <f>ROUNDUP(E16*0.75,2)</f>
        <v>7.5</v>
      </c>
      <c r="K16" s="45" t="s">
        <v>23</v>
      </c>
      <c r="L16" s="45" t="s">
        <v>130</v>
      </c>
      <c r="M16" s="77" t="e">
        <f>#REF!</f>
        <v>#REF!</v>
      </c>
      <c r="N16" s="65" t="s">
        <v>128</v>
      </c>
      <c r="O16" s="46" t="s">
        <v>91</v>
      </c>
      <c r="P16" s="43" t="s">
        <v>92</v>
      </c>
      <c r="Q16" s="47">
        <v>4</v>
      </c>
      <c r="R16" s="85">
        <f>ROUNDUP(Q16*0.75,2)</f>
        <v>3</v>
      </c>
    </row>
    <row r="17" spans="1:18" ht="24.95" customHeight="1" x14ac:dyDescent="0.15">
      <c r="A17" s="222"/>
      <c r="B17" s="65"/>
      <c r="C17" s="42" t="s">
        <v>54</v>
      </c>
      <c r="D17" s="43" t="s">
        <v>55</v>
      </c>
      <c r="E17" s="63">
        <v>0.5</v>
      </c>
      <c r="F17" s="45" t="s">
        <v>56</v>
      </c>
      <c r="G17" s="69"/>
      <c r="H17" s="73" t="s">
        <v>54</v>
      </c>
      <c r="I17" s="43" t="s">
        <v>55</v>
      </c>
      <c r="J17" s="45">
        <f>ROUNDUP(E17*0.75,2)</f>
        <v>0.38</v>
      </c>
      <c r="K17" s="45" t="s">
        <v>56</v>
      </c>
      <c r="L17" s="45"/>
      <c r="M17" s="77" t="e">
        <f>#REF!</f>
        <v>#REF!</v>
      </c>
      <c r="N17" s="65" t="s">
        <v>40</v>
      </c>
      <c r="O17" s="46"/>
      <c r="P17" s="43"/>
      <c r="Q17" s="47"/>
      <c r="R17" s="85"/>
    </row>
    <row r="18" spans="1:18" ht="24.95" customHeight="1" x14ac:dyDescent="0.15">
      <c r="A18" s="222"/>
      <c r="B18" s="66"/>
      <c r="C18" s="49"/>
      <c r="D18" s="50"/>
      <c r="E18" s="51"/>
      <c r="F18" s="52"/>
      <c r="G18" s="70"/>
      <c r="H18" s="74"/>
      <c r="I18" s="50"/>
      <c r="J18" s="52"/>
      <c r="K18" s="52"/>
      <c r="L18" s="52"/>
      <c r="M18" s="78"/>
      <c r="N18" s="66"/>
      <c r="O18" s="53"/>
      <c r="P18" s="50"/>
      <c r="Q18" s="54"/>
      <c r="R18" s="84"/>
    </row>
    <row r="19" spans="1:18" ht="24.95" customHeight="1" x14ac:dyDescent="0.15">
      <c r="A19" s="222"/>
      <c r="B19" s="65" t="s">
        <v>112</v>
      </c>
      <c r="C19" s="42" t="s">
        <v>50</v>
      </c>
      <c r="D19" s="43"/>
      <c r="E19" s="44">
        <v>20</v>
      </c>
      <c r="F19" s="45" t="s">
        <v>23</v>
      </c>
      <c r="G19" s="69"/>
      <c r="H19" s="73" t="s">
        <v>50</v>
      </c>
      <c r="I19" s="43"/>
      <c r="J19" s="45">
        <f>ROUNDUP(E19*0.75,2)</f>
        <v>15</v>
      </c>
      <c r="K19" s="45" t="s">
        <v>23</v>
      </c>
      <c r="L19" s="45"/>
      <c r="M19" s="77" t="e">
        <f>ROUND(#REF!+(#REF!*15/100),2)</f>
        <v>#REF!</v>
      </c>
      <c r="N19" s="65" t="s">
        <v>40</v>
      </c>
      <c r="O19" s="46" t="s">
        <v>73</v>
      </c>
      <c r="P19" s="43"/>
      <c r="Q19" s="47">
        <v>100</v>
      </c>
      <c r="R19" s="85">
        <f>ROUNDUP(Q19*0.75,2)</f>
        <v>75</v>
      </c>
    </row>
    <row r="20" spans="1:18" ht="24.95" customHeight="1" x14ac:dyDescent="0.15">
      <c r="A20" s="222"/>
      <c r="B20" s="65"/>
      <c r="C20" s="42" t="s">
        <v>87</v>
      </c>
      <c r="D20" s="43"/>
      <c r="E20" s="44">
        <v>5</v>
      </c>
      <c r="F20" s="45" t="s">
        <v>23</v>
      </c>
      <c r="G20" s="69" t="s">
        <v>88</v>
      </c>
      <c r="H20" s="73" t="s">
        <v>87</v>
      </c>
      <c r="I20" s="43"/>
      <c r="J20" s="45">
        <f>ROUNDUP(E20*0.75,2)</f>
        <v>3.75</v>
      </c>
      <c r="K20" s="45" t="s">
        <v>23</v>
      </c>
      <c r="L20" s="45" t="s">
        <v>88</v>
      </c>
      <c r="M20" s="77" t="e">
        <f>#REF!</f>
        <v>#REF!</v>
      </c>
      <c r="N20" s="65"/>
      <c r="O20" s="46" t="s">
        <v>57</v>
      </c>
      <c r="P20" s="43"/>
      <c r="Q20" s="47">
        <v>0.1</v>
      </c>
      <c r="R20" s="85">
        <f>ROUNDUP(Q20*0.75,2)</f>
        <v>0.08</v>
      </c>
    </row>
    <row r="21" spans="1:18" ht="24.95" customHeight="1" x14ac:dyDescent="0.15">
      <c r="A21" s="222"/>
      <c r="B21" s="65"/>
      <c r="C21" s="42"/>
      <c r="D21" s="43"/>
      <c r="E21" s="44"/>
      <c r="F21" s="45"/>
      <c r="G21" s="69"/>
      <c r="H21" s="73"/>
      <c r="I21" s="43"/>
      <c r="J21" s="45"/>
      <c r="K21" s="45"/>
      <c r="L21" s="45"/>
      <c r="M21" s="77"/>
      <c r="N21" s="65"/>
      <c r="O21" s="46" t="s">
        <v>114</v>
      </c>
      <c r="P21" s="43" t="s">
        <v>115</v>
      </c>
      <c r="Q21" s="47">
        <v>0.5</v>
      </c>
      <c r="R21" s="85">
        <f>ROUNDUP(Q21*0.75,2)</f>
        <v>0.38</v>
      </c>
    </row>
    <row r="22" spans="1:18" ht="24.95" customHeight="1" thickBot="1" x14ac:dyDescent="0.2">
      <c r="A22" s="223"/>
      <c r="B22" s="67"/>
      <c r="C22" s="57"/>
      <c r="D22" s="58"/>
      <c r="E22" s="59"/>
      <c r="F22" s="60"/>
      <c r="G22" s="71"/>
      <c r="H22" s="75"/>
      <c r="I22" s="58"/>
      <c r="J22" s="60"/>
      <c r="K22" s="60"/>
      <c r="L22" s="60"/>
      <c r="M22" s="79"/>
      <c r="N22" s="67"/>
      <c r="O22" s="61"/>
      <c r="P22" s="58"/>
      <c r="Q22" s="62"/>
      <c r="R22" s="86"/>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3.5" style="27" bestFit="1" customWidth="1"/>
    <col min="4" max="4" width="17.125" style="26" customWidth="1"/>
    <col min="5" max="5" width="8.125" style="29" customWidth="1"/>
    <col min="6" max="6" width="4" style="30" customWidth="1"/>
    <col min="7" max="7" width="10.25" style="30" hidden="1" customWidth="1"/>
    <col min="8" max="8" width="22"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1.12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253</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180</v>
      </c>
      <c r="C5" s="36" t="s">
        <v>84</v>
      </c>
      <c r="D5" s="37" t="s">
        <v>85</v>
      </c>
      <c r="E5" s="80">
        <v>0.5</v>
      </c>
      <c r="F5" s="39" t="s">
        <v>33</v>
      </c>
      <c r="G5" s="68" t="s">
        <v>22</v>
      </c>
      <c r="H5" s="72" t="s">
        <v>84</v>
      </c>
      <c r="I5" s="37" t="s">
        <v>85</v>
      </c>
      <c r="J5" s="39">
        <f>ROUNDUP(E5*0.75,2)</f>
        <v>0.38</v>
      </c>
      <c r="K5" s="39" t="s">
        <v>33</v>
      </c>
      <c r="L5" s="39" t="s">
        <v>22</v>
      </c>
      <c r="M5" s="76" t="e">
        <f>#REF!</f>
        <v>#REF!</v>
      </c>
      <c r="N5" s="64"/>
      <c r="O5" s="40" t="s">
        <v>20</v>
      </c>
      <c r="P5" s="37"/>
      <c r="Q5" s="41">
        <v>110</v>
      </c>
      <c r="R5" s="83">
        <f>ROUNDUP(Q5*0.75,2)</f>
        <v>82.5</v>
      </c>
    </row>
    <row r="6" spans="1:19" ht="24.95" customHeight="1" x14ac:dyDescent="0.15">
      <c r="A6" s="222"/>
      <c r="B6" s="66"/>
      <c r="C6" s="49"/>
      <c r="D6" s="50"/>
      <c r="E6" s="51"/>
      <c r="F6" s="52"/>
      <c r="G6" s="70"/>
      <c r="H6" s="74"/>
      <c r="I6" s="50"/>
      <c r="J6" s="52"/>
      <c r="K6" s="52"/>
      <c r="L6" s="52"/>
      <c r="M6" s="78"/>
      <c r="N6" s="66"/>
      <c r="O6" s="53"/>
      <c r="P6" s="50"/>
      <c r="Q6" s="54"/>
      <c r="R6" s="84"/>
    </row>
    <row r="7" spans="1:19" ht="24.95" customHeight="1" x14ac:dyDescent="0.15">
      <c r="A7" s="222"/>
      <c r="B7" s="65" t="s">
        <v>182</v>
      </c>
      <c r="C7" s="42" t="s">
        <v>117</v>
      </c>
      <c r="D7" s="43"/>
      <c r="E7" s="44">
        <v>1</v>
      </c>
      <c r="F7" s="45" t="s">
        <v>72</v>
      </c>
      <c r="G7" s="69" t="s">
        <v>118</v>
      </c>
      <c r="H7" s="73" t="s">
        <v>117</v>
      </c>
      <c r="I7" s="43"/>
      <c r="J7" s="45">
        <f>ROUNDUP(E7*0.75,2)</f>
        <v>0.75</v>
      </c>
      <c r="K7" s="45" t="s">
        <v>72</v>
      </c>
      <c r="L7" s="45" t="s">
        <v>118</v>
      </c>
      <c r="M7" s="77" t="e">
        <f>#REF!</f>
        <v>#REF!</v>
      </c>
      <c r="N7" s="65" t="s">
        <v>183</v>
      </c>
      <c r="O7" s="46" t="s">
        <v>49</v>
      </c>
      <c r="P7" s="43"/>
      <c r="Q7" s="47">
        <v>2</v>
      </c>
      <c r="R7" s="85">
        <f>ROUNDUP(Q7*0.75,2)</f>
        <v>1.5</v>
      </c>
    </row>
    <row r="8" spans="1:19" ht="24.95" customHeight="1" x14ac:dyDescent="0.15">
      <c r="A8" s="222"/>
      <c r="B8" s="65"/>
      <c r="C8" s="42" t="s">
        <v>185</v>
      </c>
      <c r="D8" s="43"/>
      <c r="E8" s="44">
        <v>0.5</v>
      </c>
      <c r="F8" s="45" t="s">
        <v>23</v>
      </c>
      <c r="G8" s="69"/>
      <c r="H8" s="73" t="s">
        <v>185</v>
      </c>
      <c r="I8" s="43"/>
      <c r="J8" s="45">
        <f>ROUNDUP(E8*0.75,2)</f>
        <v>0.38</v>
      </c>
      <c r="K8" s="45" t="s">
        <v>23</v>
      </c>
      <c r="L8" s="45"/>
      <c r="M8" s="77" t="e">
        <f>ROUND(#REF!+(#REF!*20/100),2)</f>
        <v>#REF!</v>
      </c>
      <c r="N8" s="65" t="s">
        <v>184</v>
      </c>
      <c r="O8" s="46" t="s">
        <v>28</v>
      </c>
      <c r="P8" s="43" t="s">
        <v>29</v>
      </c>
      <c r="Q8" s="47">
        <v>2</v>
      </c>
      <c r="R8" s="85">
        <f>ROUNDUP(Q8*0.75,2)</f>
        <v>1.5</v>
      </c>
    </row>
    <row r="9" spans="1:19" ht="24.95" customHeight="1" x14ac:dyDescent="0.15">
      <c r="A9" s="222"/>
      <c r="B9" s="65"/>
      <c r="C9" s="42" t="s">
        <v>65</v>
      </c>
      <c r="D9" s="43"/>
      <c r="E9" s="44">
        <v>20</v>
      </c>
      <c r="F9" s="45" t="s">
        <v>23</v>
      </c>
      <c r="G9" s="69"/>
      <c r="H9" s="73" t="s">
        <v>65</v>
      </c>
      <c r="I9" s="43"/>
      <c r="J9" s="45">
        <f>ROUNDUP(E9*0.75,2)</f>
        <v>15</v>
      </c>
      <c r="K9" s="45" t="s">
        <v>23</v>
      </c>
      <c r="L9" s="45"/>
      <c r="M9" s="77" t="e">
        <f>ROUND(#REF!+(#REF!*10/100),2)</f>
        <v>#REF!</v>
      </c>
      <c r="N9" s="65" t="s">
        <v>274</v>
      </c>
      <c r="O9" s="46" t="s">
        <v>67</v>
      </c>
      <c r="P9" s="43"/>
      <c r="Q9" s="47">
        <v>3</v>
      </c>
      <c r="R9" s="85">
        <f>ROUNDUP(Q9*0.75,2)</f>
        <v>2.25</v>
      </c>
    </row>
    <row r="10" spans="1:19" ht="24.95" customHeight="1" x14ac:dyDescent="0.15">
      <c r="A10" s="222"/>
      <c r="B10" s="65"/>
      <c r="C10" s="42" t="s">
        <v>152</v>
      </c>
      <c r="D10" s="43"/>
      <c r="E10" s="44">
        <v>0.5</v>
      </c>
      <c r="F10" s="45" t="s">
        <v>23</v>
      </c>
      <c r="G10" s="69" t="s">
        <v>35</v>
      </c>
      <c r="H10" s="73" t="s">
        <v>152</v>
      </c>
      <c r="I10" s="43"/>
      <c r="J10" s="45">
        <f>ROUNDUP(E10*0.75,2)</f>
        <v>0.38</v>
      </c>
      <c r="K10" s="45" t="s">
        <v>23</v>
      </c>
      <c r="L10" s="45" t="s">
        <v>35</v>
      </c>
      <c r="M10" s="77" t="e">
        <f>#REF!</f>
        <v>#REF!</v>
      </c>
      <c r="N10" s="65" t="s">
        <v>275</v>
      </c>
      <c r="O10" s="46" t="s">
        <v>47</v>
      </c>
      <c r="P10" s="43"/>
      <c r="Q10" s="47">
        <v>3</v>
      </c>
      <c r="R10" s="85">
        <f>ROUNDUP(Q10*0.75,2)</f>
        <v>2.25</v>
      </c>
    </row>
    <row r="11" spans="1:19" ht="24.95" customHeight="1" x14ac:dyDescent="0.15">
      <c r="A11" s="222"/>
      <c r="B11" s="65"/>
      <c r="C11" s="42"/>
      <c r="D11" s="43"/>
      <c r="E11" s="44"/>
      <c r="F11" s="45"/>
      <c r="G11" s="69"/>
      <c r="H11" s="73"/>
      <c r="I11" s="43"/>
      <c r="J11" s="45"/>
      <c r="K11" s="45"/>
      <c r="L11" s="45"/>
      <c r="M11" s="77"/>
      <c r="N11" s="65" t="s">
        <v>40</v>
      </c>
      <c r="O11" s="46" t="s">
        <v>57</v>
      </c>
      <c r="P11" s="43"/>
      <c r="Q11" s="47">
        <v>0.1</v>
      </c>
      <c r="R11" s="85">
        <f>ROUNDUP(Q11*0.75,2)</f>
        <v>0.08</v>
      </c>
    </row>
    <row r="12" spans="1:19" ht="24.95" customHeight="1" x14ac:dyDescent="0.15">
      <c r="A12" s="222"/>
      <c r="B12" s="66"/>
      <c r="C12" s="49"/>
      <c r="D12" s="50"/>
      <c r="E12" s="51"/>
      <c r="F12" s="52"/>
      <c r="G12" s="70"/>
      <c r="H12" s="74"/>
      <c r="I12" s="50"/>
      <c r="J12" s="52"/>
      <c r="K12" s="52"/>
      <c r="L12" s="52"/>
      <c r="M12" s="78"/>
      <c r="N12" s="66"/>
      <c r="O12" s="53"/>
      <c r="P12" s="50"/>
      <c r="Q12" s="54"/>
      <c r="R12" s="84"/>
    </row>
    <row r="13" spans="1:19" ht="24.95" customHeight="1" x14ac:dyDescent="0.15">
      <c r="A13" s="222"/>
      <c r="B13" s="65" t="s">
        <v>186</v>
      </c>
      <c r="C13" s="42" t="s">
        <v>188</v>
      </c>
      <c r="D13" s="43"/>
      <c r="E13" s="44">
        <v>20</v>
      </c>
      <c r="F13" s="45" t="s">
        <v>23</v>
      </c>
      <c r="G13" s="69"/>
      <c r="H13" s="73" t="s">
        <v>188</v>
      </c>
      <c r="I13" s="43"/>
      <c r="J13" s="45">
        <f>ROUNDUP(E13*0.75,2)</f>
        <v>15</v>
      </c>
      <c r="K13" s="45" t="s">
        <v>23</v>
      </c>
      <c r="L13" s="45"/>
      <c r="M13" s="77" t="e">
        <f>ROUND(#REF!+(#REF!*3/100),2)</f>
        <v>#REF!</v>
      </c>
      <c r="N13" s="65" t="s">
        <v>187</v>
      </c>
      <c r="O13" s="46" t="s">
        <v>28</v>
      </c>
      <c r="P13" s="43" t="s">
        <v>29</v>
      </c>
      <c r="Q13" s="47">
        <v>0.5</v>
      </c>
      <c r="R13" s="85">
        <f>ROUNDUP(Q13*0.75,2)</f>
        <v>0.38</v>
      </c>
    </row>
    <row r="14" spans="1:19" ht="24.95" customHeight="1" x14ac:dyDescent="0.15">
      <c r="A14" s="222"/>
      <c r="B14" s="65"/>
      <c r="C14" s="42" t="s">
        <v>69</v>
      </c>
      <c r="D14" s="43"/>
      <c r="E14" s="44">
        <v>20</v>
      </c>
      <c r="F14" s="45" t="s">
        <v>23</v>
      </c>
      <c r="G14" s="69"/>
      <c r="H14" s="73" t="s">
        <v>69</v>
      </c>
      <c r="I14" s="43"/>
      <c r="J14" s="45">
        <f>ROUNDUP(E14*0.75,2)</f>
        <v>15</v>
      </c>
      <c r="K14" s="45" t="s">
        <v>23</v>
      </c>
      <c r="L14" s="45"/>
      <c r="M14" s="77" t="e">
        <f>ROUND(#REF!+(#REF!*3/100),2)</f>
        <v>#REF!</v>
      </c>
      <c r="N14" s="65" t="s">
        <v>134</v>
      </c>
      <c r="O14" s="46" t="s">
        <v>26</v>
      </c>
      <c r="P14" s="43"/>
      <c r="Q14" s="47">
        <v>1</v>
      </c>
      <c r="R14" s="85">
        <f>ROUNDUP(Q14*0.75,2)</f>
        <v>0.75</v>
      </c>
    </row>
    <row r="15" spans="1:19" ht="24.95" customHeight="1" x14ac:dyDescent="0.15">
      <c r="A15" s="222"/>
      <c r="B15" s="65"/>
      <c r="C15" s="42"/>
      <c r="D15" s="43"/>
      <c r="E15" s="44"/>
      <c r="F15" s="45"/>
      <c r="G15" s="69"/>
      <c r="H15" s="73"/>
      <c r="I15" s="43"/>
      <c r="J15" s="45"/>
      <c r="K15" s="45"/>
      <c r="L15" s="45"/>
      <c r="M15" s="77"/>
      <c r="N15" s="65" t="s">
        <v>40</v>
      </c>
      <c r="O15" s="46" t="s">
        <v>124</v>
      </c>
      <c r="P15" s="43"/>
      <c r="Q15" s="47">
        <v>2</v>
      </c>
      <c r="R15" s="85">
        <f>ROUNDUP(Q15*0.75,2)</f>
        <v>1.5</v>
      </c>
    </row>
    <row r="16" spans="1:19" ht="24.95" customHeight="1" x14ac:dyDescent="0.15">
      <c r="A16" s="222"/>
      <c r="B16" s="65"/>
      <c r="C16" s="42"/>
      <c r="D16" s="43"/>
      <c r="E16" s="44"/>
      <c r="F16" s="45"/>
      <c r="G16" s="69"/>
      <c r="H16" s="73"/>
      <c r="I16" s="43"/>
      <c r="J16" s="45"/>
      <c r="K16" s="45"/>
      <c r="L16" s="45"/>
      <c r="M16" s="77"/>
      <c r="N16" s="65"/>
      <c r="O16" s="46" t="s">
        <v>111</v>
      </c>
      <c r="P16" s="43"/>
      <c r="Q16" s="47">
        <v>2</v>
      </c>
      <c r="R16" s="85">
        <f>ROUNDUP(Q16*0.75,2)</f>
        <v>1.5</v>
      </c>
    </row>
    <row r="17" spans="1:18" ht="24.95" customHeight="1" x14ac:dyDescent="0.15">
      <c r="A17" s="222"/>
      <c r="B17" s="66"/>
      <c r="C17" s="49"/>
      <c r="D17" s="50"/>
      <c r="E17" s="51"/>
      <c r="F17" s="52"/>
      <c r="G17" s="70"/>
      <c r="H17" s="74"/>
      <c r="I17" s="50"/>
      <c r="J17" s="52"/>
      <c r="K17" s="52"/>
      <c r="L17" s="52"/>
      <c r="M17" s="78"/>
      <c r="N17" s="66"/>
      <c r="O17" s="53"/>
      <c r="P17" s="50"/>
      <c r="Q17" s="54"/>
      <c r="R17" s="84"/>
    </row>
    <row r="18" spans="1:18" ht="24.95" customHeight="1" x14ac:dyDescent="0.15">
      <c r="A18" s="222"/>
      <c r="B18" s="65" t="s">
        <v>80</v>
      </c>
      <c r="C18" s="42" t="s">
        <v>93</v>
      </c>
      <c r="D18" s="43"/>
      <c r="E18" s="44">
        <v>0.5</v>
      </c>
      <c r="F18" s="45" t="s">
        <v>23</v>
      </c>
      <c r="G18" s="69" t="s">
        <v>94</v>
      </c>
      <c r="H18" s="73" t="s">
        <v>93</v>
      </c>
      <c r="I18" s="43"/>
      <c r="J18" s="45">
        <f>ROUNDUP(E18*0.75,2)</f>
        <v>0.38</v>
      </c>
      <c r="K18" s="45" t="s">
        <v>23</v>
      </c>
      <c r="L18" s="45" t="s">
        <v>94</v>
      </c>
      <c r="M18" s="77" t="e">
        <f>#REF!</f>
        <v>#REF!</v>
      </c>
      <c r="N18" s="65" t="s">
        <v>40</v>
      </c>
      <c r="O18" s="46" t="s">
        <v>25</v>
      </c>
      <c r="P18" s="43"/>
      <c r="Q18" s="47">
        <v>100</v>
      </c>
      <c r="R18" s="85">
        <f>ROUNDUP(Q18*0.75,2)</f>
        <v>75</v>
      </c>
    </row>
    <row r="19" spans="1:18" ht="24.95" customHeight="1" x14ac:dyDescent="0.15">
      <c r="A19" s="222"/>
      <c r="B19" s="65"/>
      <c r="C19" s="42" t="s">
        <v>135</v>
      </c>
      <c r="D19" s="43" t="s">
        <v>29</v>
      </c>
      <c r="E19" s="44">
        <v>2</v>
      </c>
      <c r="F19" s="45" t="s">
        <v>56</v>
      </c>
      <c r="G19" s="69" t="s">
        <v>31</v>
      </c>
      <c r="H19" s="73" t="s">
        <v>135</v>
      </c>
      <c r="I19" s="43" t="s">
        <v>29</v>
      </c>
      <c r="J19" s="45">
        <f>ROUNDUP(E19*0.75,2)</f>
        <v>1.5</v>
      </c>
      <c r="K19" s="45" t="s">
        <v>56</v>
      </c>
      <c r="L19" s="45" t="s">
        <v>31</v>
      </c>
      <c r="M19" s="77" t="e">
        <f>#REF!</f>
        <v>#REF!</v>
      </c>
      <c r="N19" s="65"/>
      <c r="O19" s="46" t="s">
        <v>48</v>
      </c>
      <c r="P19" s="43"/>
      <c r="Q19" s="47">
        <v>3</v>
      </c>
      <c r="R19" s="85">
        <f>ROUNDUP(Q19*0.75,2)</f>
        <v>2.25</v>
      </c>
    </row>
    <row r="20" spans="1:18" ht="24.95" customHeight="1" x14ac:dyDescent="0.15">
      <c r="A20" s="222"/>
      <c r="B20" s="66"/>
      <c r="C20" s="49"/>
      <c r="D20" s="50"/>
      <c r="E20" s="51"/>
      <c r="F20" s="52"/>
      <c r="G20" s="70"/>
      <c r="H20" s="74"/>
      <c r="I20" s="50"/>
      <c r="J20" s="52"/>
      <c r="K20" s="52"/>
      <c r="L20" s="52"/>
      <c r="M20" s="78"/>
      <c r="N20" s="66"/>
      <c r="O20" s="53"/>
      <c r="P20" s="50"/>
      <c r="Q20" s="54"/>
      <c r="R20" s="84"/>
    </row>
    <row r="21" spans="1:18" ht="24.95" customHeight="1" x14ac:dyDescent="0.15">
      <c r="A21" s="222"/>
      <c r="B21" s="65" t="s">
        <v>189</v>
      </c>
      <c r="C21" s="42" t="s">
        <v>190</v>
      </c>
      <c r="D21" s="43"/>
      <c r="E21" s="81">
        <v>0.25</v>
      </c>
      <c r="F21" s="45" t="s">
        <v>133</v>
      </c>
      <c r="G21" s="69"/>
      <c r="H21" s="73" t="s">
        <v>190</v>
      </c>
      <c r="I21" s="43"/>
      <c r="J21" s="45">
        <f>ROUNDUP(E21*0.75,2)</f>
        <v>0.19</v>
      </c>
      <c r="K21" s="45" t="s">
        <v>133</v>
      </c>
      <c r="L21" s="45"/>
      <c r="M21" s="77" t="e">
        <f>#REF!</f>
        <v>#REF!</v>
      </c>
      <c r="N21" s="65" t="s">
        <v>59</v>
      </c>
      <c r="O21" s="46"/>
      <c r="P21" s="43"/>
      <c r="Q21" s="47"/>
      <c r="R21" s="85"/>
    </row>
    <row r="22" spans="1:18" ht="24.95" customHeight="1" thickBot="1" x14ac:dyDescent="0.2">
      <c r="A22" s="223"/>
      <c r="B22" s="67"/>
      <c r="C22" s="57"/>
      <c r="D22" s="58"/>
      <c r="E22" s="59"/>
      <c r="F22" s="60"/>
      <c r="G22" s="71"/>
      <c r="H22" s="75"/>
      <c r="I22" s="58"/>
      <c r="J22" s="60"/>
      <c r="K22" s="60"/>
      <c r="L22" s="60"/>
      <c r="M22" s="79"/>
      <c r="N22" s="67"/>
      <c r="O22" s="61"/>
      <c r="P22" s="58"/>
      <c r="Q22" s="62"/>
      <c r="R22" s="86"/>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18.25" style="27" bestFit="1"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5.875" style="27" customWidth="1"/>
    <col min="15" max="15" width="14.125" style="31" customWidth="1"/>
    <col min="16" max="16" width="15.375"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254</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193</v>
      </c>
      <c r="C5" s="36" t="s">
        <v>87</v>
      </c>
      <c r="D5" s="37"/>
      <c r="E5" s="38">
        <v>10</v>
      </c>
      <c r="F5" s="39" t="s">
        <v>23</v>
      </c>
      <c r="G5" s="68" t="s">
        <v>88</v>
      </c>
      <c r="H5" s="72" t="s">
        <v>87</v>
      </c>
      <c r="I5" s="37"/>
      <c r="J5" s="39">
        <f>ROUNDUP(E5*0.75,2)</f>
        <v>7.5</v>
      </c>
      <c r="K5" s="39" t="s">
        <v>23</v>
      </c>
      <c r="L5" s="39" t="s">
        <v>88</v>
      </c>
      <c r="M5" s="76" t="e">
        <f>#REF!</f>
        <v>#REF!</v>
      </c>
      <c r="N5" s="64" t="s">
        <v>305</v>
      </c>
      <c r="O5" s="40" t="s">
        <v>20</v>
      </c>
      <c r="P5" s="37"/>
      <c r="Q5" s="41">
        <v>110</v>
      </c>
      <c r="R5" s="83">
        <f>ROUNDUP(Q5*0.75,2)</f>
        <v>82.5</v>
      </c>
    </row>
    <row r="6" spans="1:19" ht="24.95" customHeight="1" x14ac:dyDescent="0.15">
      <c r="A6" s="222"/>
      <c r="B6" s="65"/>
      <c r="C6" s="42"/>
      <c r="D6" s="43"/>
      <c r="E6" s="44"/>
      <c r="F6" s="45"/>
      <c r="G6" s="69"/>
      <c r="H6" s="73"/>
      <c r="I6" s="43"/>
      <c r="J6" s="45"/>
      <c r="K6" s="45"/>
      <c r="L6" s="45"/>
      <c r="M6" s="77"/>
      <c r="N6" s="65" t="s">
        <v>304</v>
      </c>
      <c r="O6" s="46" t="s">
        <v>103</v>
      </c>
      <c r="P6" s="43" t="s">
        <v>63</v>
      </c>
      <c r="Q6" s="47">
        <v>1</v>
      </c>
      <c r="R6" s="85">
        <f>ROUNDUP(Q6*0.75,2)</f>
        <v>0.75</v>
      </c>
    </row>
    <row r="7" spans="1:19" ht="24.95" customHeight="1" x14ac:dyDescent="0.15">
      <c r="A7" s="222"/>
      <c r="B7" s="65"/>
      <c r="C7" s="42"/>
      <c r="D7" s="43"/>
      <c r="E7" s="44"/>
      <c r="F7" s="45"/>
      <c r="G7" s="69"/>
      <c r="H7" s="73"/>
      <c r="I7" s="43"/>
      <c r="J7" s="45"/>
      <c r="K7" s="45"/>
      <c r="L7" s="45"/>
      <c r="M7" s="77"/>
      <c r="N7" s="65" t="s">
        <v>40</v>
      </c>
      <c r="O7" s="46" t="s">
        <v>114</v>
      </c>
      <c r="P7" s="43" t="s">
        <v>115</v>
      </c>
      <c r="Q7" s="47">
        <v>0.5</v>
      </c>
      <c r="R7" s="85">
        <f>ROUNDUP(Q7*0.75,2)</f>
        <v>0.38</v>
      </c>
    </row>
    <row r="8" spans="1:19" ht="24.95" customHeight="1" x14ac:dyDescent="0.15">
      <c r="A8" s="222"/>
      <c r="B8" s="66"/>
      <c r="C8" s="49"/>
      <c r="D8" s="50"/>
      <c r="E8" s="51"/>
      <c r="F8" s="52"/>
      <c r="G8" s="70"/>
      <c r="H8" s="74"/>
      <c r="I8" s="50"/>
      <c r="J8" s="52"/>
      <c r="K8" s="52"/>
      <c r="L8" s="52"/>
      <c r="M8" s="78"/>
      <c r="N8" s="66"/>
      <c r="O8" s="53"/>
      <c r="P8" s="50"/>
      <c r="Q8" s="54"/>
      <c r="R8" s="84"/>
    </row>
    <row r="9" spans="1:19" ht="24.95" customHeight="1" x14ac:dyDescent="0.15">
      <c r="A9" s="222"/>
      <c r="B9" s="65" t="s">
        <v>194</v>
      </c>
      <c r="C9" s="42" t="s">
        <v>104</v>
      </c>
      <c r="D9" s="43"/>
      <c r="E9" s="44">
        <v>30</v>
      </c>
      <c r="F9" s="45" t="s">
        <v>23</v>
      </c>
      <c r="G9" s="69" t="s">
        <v>35</v>
      </c>
      <c r="H9" s="73" t="s">
        <v>104</v>
      </c>
      <c r="I9" s="43"/>
      <c r="J9" s="45">
        <f t="shared" ref="J9:J15" si="0">ROUNDUP(E9*0.75,2)</f>
        <v>22.5</v>
      </c>
      <c r="K9" s="45" t="s">
        <v>23</v>
      </c>
      <c r="L9" s="45" t="s">
        <v>35</v>
      </c>
      <c r="M9" s="77" t="e">
        <f>#REF!</f>
        <v>#REF!</v>
      </c>
      <c r="N9" s="65" t="s">
        <v>195</v>
      </c>
      <c r="O9" s="46" t="s">
        <v>47</v>
      </c>
      <c r="P9" s="43"/>
      <c r="Q9" s="47">
        <v>2</v>
      </c>
      <c r="R9" s="85">
        <f>ROUNDUP(Q9*0.75,2)</f>
        <v>1.5</v>
      </c>
    </row>
    <row r="10" spans="1:19" ht="24.95" customHeight="1" x14ac:dyDescent="0.15">
      <c r="A10" s="222"/>
      <c r="B10" s="65"/>
      <c r="C10" s="42" t="s">
        <v>44</v>
      </c>
      <c r="D10" s="43"/>
      <c r="E10" s="44">
        <v>40</v>
      </c>
      <c r="F10" s="45" t="s">
        <v>23</v>
      </c>
      <c r="G10" s="69"/>
      <c r="H10" s="73" t="s">
        <v>44</v>
      </c>
      <c r="I10" s="43"/>
      <c r="J10" s="45">
        <f t="shared" si="0"/>
        <v>30</v>
      </c>
      <c r="K10" s="45" t="s">
        <v>23</v>
      </c>
      <c r="L10" s="45"/>
      <c r="M10" s="77" t="e">
        <f>ROUND(#REF!+(#REF!*6/100),2)</f>
        <v>#REF!</v>
      </c>
      <c r="N10" s="65" t="s">
        <v>196</v>
      </c>
      <c r="O10" s="46" t="s">
        <v>73</v>
      </c>
      <c r="P10" s="43"/>
      <c r="Q10" s="47">
        <v>80</v>
      </c>
      <c r="R10" s="85">
        <f>ROUNDUP(Q10*0.75,2)</f>
        <v>60</v>
      </c>
    </row>
    <row r="11" spans="1:19" ht="24.95" customHeight="1" x14ac:dyDescent="0.15">
      <c r="A11" s="222"/>
      <c r="B11" s="65"/>
      <c r="C11" s="42" t="s">
        <v>65</v>
      </c>
      <c r="D11" s="43"/>
      <c r="E11" s="44">
        <v>30</v>
      </c>
      <c r="F11" s="45" t="s">
        <v>23</v>
      </c>
      <c r="G11" s="69"/>
      <c r="H11" s="73" t="s">
        <v>65</v>
      </c>
      <c r="I11" s="43"/>
      <c r="J11" s="45">
        <f t="shared" si="0"/>
        <v>22.5</v>
      </c>
      <c r="K11" s="45" t="s">
        <v>23</v>
      </c>
      <c r="L11" s="45"/>
      <c r="M11" s="77" t="e">
        <f>ROUND(#REF!+(#REF!*10/100),2)</f>
        <v>#REF!</v>
      </c>
      <c r="N11" s="65" t="s">
        <v>276</v>
      </c>
      <c r="O11" s="46"/>
      <c r="P11" s="43"/>
      <c r="Q11" s="47"/>
      <c r="R11" s="85"/>
    </row>
    <row r="12" spans="1:19" ht="24.95" customHeight="1" x14ac:dyDescent="0.15">
      <c r="A12" s="222"/>
      <c r="B12" s="65"/>
      <c r="C12" s="42" t="s">
        <v>69</v>
      </c>
      <c r="D12" s="43"/>
      <c r="E12" s="44">
        <v>10</v>
      </c>
      <c r="F12" s="45" t="s">
        <v>23</v>
      </c>
      <c r="G12" s="69"/>
      <c r="H12" s="73" t="s">
        <v>69</v>
      </c>
      <c r="I12" s="43"/>
      <c r="J12" s="45">
        <f t="shared" si="0"/>
        <v>7.5</v>
      </c>
      <c r="K12" s="45" t="s">
        <v>23</v>
      </c>
      <c r="L12" s="45"/>
      <c r="M12" s="77" t="e">
        <f>ROUND(#REF!+(#REF!*3/100),2)</f>
        <v>#REF!</v>
      </c>
      <c r="N12" s="65" t="s">
        <v>277</v>
      </c>
      <c r="O12" s="46"/>
      <c r="P12" s="43"/>
      <c r="Q12" s="47"/>
      <c r="R12" s="85"/>
    </row>
    <row r="13" spans="1:19" ht="24.95" customHeight="1" x14ac:dyDescent="0.15">
      <c r="A13" s="222"/>
      <c r="B13" s="65"/>
      <c r="C13" s="42" t="s">
        <v>197</v>
      </c>
      <c r="D13" s="43" t="s">
        <v>115</v>
      </c>
      <c r="E13" s="44">
        <v>10</v>
      </c>
      <c r="F13" s="45" t="s">
        <v>23</v>
      </c>
      <c r="G13" s="69"/>
      <c r="H13" s="73" t="s">
        <v>197</v>
      </c>
      <c r="I13" s="43" t="s">
        <v>115</v>
      </c>
      <c r="J13" s="45">
        <f t="shared" si="0"/>
        <v>7.5</v>
      </c>
      <c r="K13" s="45" t="s">
        <v>23</v>
      </c>
      <c r="L13" s="45"/>
      <c r="M13" s="77"/>
      <c r="N13" s="65" t="s">
        <v>141</v>
      </c>
      <c r="O13" s="46"/>
      <c r="P13" s="43"/>
      <c r="Q13" s="47"/>
      <c r="R13" s="85"/>
    </row>
    <row r="14" spans="1:19" ht="24.95" customHeight="1" x14ac:dyDescent="0.15">
      <c r="A14" s="222"/>
      <c r="B14" s="65"/>
      <c r="C14" s="42" t="s">
        <v>62</v>
      </c>
      <c r="D14" s="43" t="s">
        <v>63</v>
      </c>
      <c r="E14" s="44">
        <v>40</v>
      </c>
      <c r="F14" s="45" t="s">
        <v>64</v>
      </c>
      <c r="G14" s="69" t="s">
        <v>22</v>
      </c>
      <c r="H14" s="73" t="s">
        <v>62</v>
      </c>
      <c r="I14" s="43" t="s">
        <v>63</v>
      </c>
      <c r="J14" s="45">
        <f t="shared" si="0"/>
        <v>30</v>
      </c>
      <c r="K14" s="45" t="s">
        <v>64</v>
      </c>
      <c r="L14" s="45" t="s">
        <v>22</v>
      </c>
      <c r="M14" s="77" t="e">
        <f>#REF!</f>
        <v>#REF!</v>
      </c>
      <c r="N14" s="65" t="s">
        <v>40</v>
      </c>
      <c r="O14" s="46"/>
      <c r="P14" s="43"/>
      <c r="Q14" s="47"/>
      <c r="R14" s="85"/>
    </row>
    <row r="15" spans="1:19" ht="24.95" customHeight="1" x14ac:dyDescent="0.15">
      <c r="A15" s="222"/>
      <c r="B15" s="65"/>
      <c r="C15" s="42" t="s">
        <v>108</v>
      </c>
      <c r="D15" s="43"/>
      <c r="E15" s="44">
        <v>0.5</v>
      </c>
      <c r="F15" s="45" t="s">
        <v>23</v>
      </c>
      <c r="G15" s="69"/>
      <c r="H15" s="73" t="s">
        <v>108</v>
      </c>
      <c r="I15" s="43"/>
      <c r="J15" s="45">
        <f t="shared" si="0"/>
        <v>0.38</v>
      </c>
      <c r="K15" s="45" t="s">
        <v>23</v>
      </c>
      <c r="L15" s="45"/>
      <c r="M15" s="77" t="e">
        <f>ROUND(#REF!+(#REF!*10/100),2)</f>
        <v>#REF!</v>
      </c>
      <c r="N15" s="65"/>
      <c r="O15" s="46"/>
      <c r="P15" s="43"/>
      <c r="Q15" s="47"/>
      <c r="R15" s="85"/>
    </row>
    <row r="16" spans="1:19" ht="24.95" customHeight="1" x14ac:dyDescent="0.15">
      <c r="A16" s="222"/>
      <c r="B16" s="66"/>
      <c r="C16" s="49"/>
      <c r="D16" s="50"/>
      <c r="E16" s="51"/>
      <c r="F16" s="52"/>
      <c r="G16" s="70"/>
      <c r="H16" s="74"/>
      <c r="I16" s="50"/>
      <c r="J16" s="52"/>
      <c r="K16" s="52"/>
      <c r="L16" s="52"/>
      <c r="M16" s="78"/>
      <c r="N16" s="66"/>
      <c r="O16" s="53"/>
      <c r="P16" s="50"/>
      <c r="Q16" s="54"/>
      <c r="R16" s="84"/>
    </row>
    <row r="17" spans="1:18" ht="24.95" customHeight="1" x14ac:dyDescent="0.15">
      <c r="A17" s="222"/>
      <c r="B17" s="65" t="s">
        <v>198</v>
      </c>
      <c r="C17" s="42" t="s">
        <v>151</v>
      </c>
      <c r="D17" s="43"/>
      <c r="E17" s="44">
        <v>20</v>
      </c>
      <c r="F17" s="45" t="s">
        <v>23</v>
      </c>
      <c r="G17" s="69" t="s">
        <v>35</v>
      </c>
      <c r="H17" s="73" t="s">
        <v>151</v>
      </c>
      <c r="I17" s="43"/>
      <c r="J17" s="45">
        <f>ROUNDUP(E17*0.75,2)</f>
        <v>15</v>
      </c>
      <c r="K17" s="45" t="s">
        <v>23</v>
      </c>
      <c r="L17" s="45" t="s">
        <v>35</v>
      </c>
      <c r="M17" s="77" t="e">
        <f>#REF!</f>
        <v>#REF!</v>
      </c>
      <c r="N17" s="65" t="s">
        <v>199</v>
      </c>
      <c r="O17" s="46" t="s">
        <v>26</v>
      </c>
      <c r="P17" s="43"/>
      <c r="Q17" s="47">
        <v>0.3</v>
      </c>
      <c r="R17" s="85">
        <f>ROUNDUP(Q17*0.75,2)</f>
        <v>0.23</v>
      </c>
    </row>
    <row r="18" spans="1:18" ht="24.95" customHeight="1" x14ac:dyDescent="0.15">
      <c r="A18" s="222"/>
      <c r="B18" s="65"/>
      <c r="C18" s="42" t="s">
        <v>51</v>
      </c>
      <c r="D18" s="43"/>
      <c r="E18" s="44">
        <v>10</v>
      </c>
      <c r="F18" s="45" t="s">
        <v>23</v>
      </c>
      <c r="G18" s="69"/>
      <c r="H18" s="73" t="s">
        <v>51</v>
      </c>
      <c r="I18" s="43"/>
      <c r="J18" s="45">
        <f>ROUNDUP(E18*0.75,2)</f>
        <v>7.5</v>
      </c>
      <c r="K18" s="45" t="s">
        <v>23</v>
      </c>
      <c r="L18" s="45"/>
      <c r="M18" s="77" t="e">
        <f>ROUND(#REF!+(#REF!*3/100),2)</f>
        <v>#REF!</v>
      </c>
      <c r="N18" s="65" t="s">
        <v>200</v>
      </c>
      <c r="O18" s="46" t="s">
        <v>57</v>
      </c>
      <c r="P18" s="43"/>
      <c r="Q18" s="47">
        <v>0.1</v>
      </c>
      <c r="R18" s="85">
        <f>ROUNDUP(Q18*0.75,2)</f>
        <v>0.08</v>
      </c>
    </row>
    <row r="19" spans="1:18" ht="24.95" customHeight="1" x14ac:dyDescent="0.15">
      <c r="A19" s="222"/>
      <c r="B19" s="65"/>
      <c r="C19" s="42" t="s">
        <v>110</v>
      </c>
      <c r="D19" s="43"/>
      <c r="E19" s="44">
        <v>10</v>
      </c>
      <c r="F19" s="45" t="s">
        <v>23</v>
      </c>
      <c r="G19" s="69"/>
      <c r="H19" s="73" t="s">
        <v>110</v>
      </c>
      <c r="I19" s="43"/>
      <c r="J19" s="45">
        <f>ROUNDUP(E19*0.75,2)</f>
        <v>7.5</v>
      </c>
      <c r="K19" s="45" t="s">
        <v>23</v>
      </c>
      <c r="L19" s="45"/>
      <c r="M19" s="77" t="e">
        <f>ROUND(#REF!+(#REF!*2/100),2)</f>
        <v>#REF!</v>
      </c>
      <c r="N19" s="65" t="s">
        <v>18</v>
      </c>
      <c r="O19" s="46" t="s">
        <v>91</v>
      </c>
      <c r="P19" s="43" t="s">
        <v>92</v>
      </c>
      <c r="Q19" s="47">
        <v>4</v>
      </c>
      <c r="R19" s="85">
        <f>ROUNDUP(Q19*0.75,2)</f>
        <v>3</v>
      </c>
    </row>
    <row r="20" spans="1:18" ht="24.95" customHeight="1" x14ac:dyDescent="0.15">
      <c r="A20" s="222"/>
      <c r="B20" s="65"/>
      <c r="C20" s="42"/>
      <c r="D20" s="43"/>
      <c r="E20" s="44"/>
      <c r="F20" s="45"/>
      <c r="G20" s="69"/>
      <c r="H20" s="73"/>
      <c r="I20" s="43"/>
      <c r="J20" s="45"/>
      <c r="K20" s="45"/>
      <c r="L20" s="45"/>
      <c r="M20" s="77"/>
      <c r="N20" s="65" t="s">
        <v>40</v>
      </c>
      <c r="O20" s="46"/>
      <c r="P20" s="43"/>
      <c r="Q20" s="47"/>
      <c r="R20" s="85"/>
    </row>
    <row r="21" spans="1:18" ht="24.95" customHeight="1" x14ac:dyDescent="0.15">
      <c r="A21" s="222"/>
      <c r="B21" s="66"/>
      <c r="C21" s="49"/>
      <c r="D21" s="50"/>
      <c r="E21" s="51"/>
      <c r="F21" s="52"/>
      <c r="G21" s="70"/>
      <c r="H21" s="74"/>
      <c r="I21" s="50"/>
      <c r="J21" s="52"/>
      <c r="K21" s="52"/>
      <c r="L21" s="52"/>
      <c r="M21" s="78"/>
      <c r="N21" s="66"/>
      <c r="O21" s="53"/>
      <c r="P21" s="50"/>
      <c r="Q21" s="54"/>
      <c r="R21" s="84"/>
    </row>
    <row r="22" spans="1:18" ht="24.95" customHeight="1" x14ac:dyDescent="0.15">
      <c r="A22" s="222"/>
      <c r="B22" s="65" t="s">
        <v>82</v>
      </c>
      <c r="C22" s="42" t="s">
        <v>83</v>
      </c>
      <c r="D22" s="43"/>
      <c r="E22" s="55">
        <v>0.125</v>
      </c>
      <c r="F22" s="45" t="s">
        <v>56</v>
      </c>
      <c r="G22" s="69"/>
      <c r="H22" s="73" t="s">
        <v>83</v>
      </c>
      <c r="I22" s="43"/>
      <c r="J22" s="45">
        <f>ROUNDUP(E22*0.75,2)</f>
        <v>9.9999999999999992E-2</v>
      </c>
      <c r="K22" s="45" t="s">
        <v>56</v>
      </c>
      <c r="L22" s="45"/>
      <c r="M22" s="77" t="e">
        <f>#REF!</f>
        <v>#REF!</v>
      </c>
      <c r="N22" s="65" t="s">
        <v>59</v>
      </c>
      <c r="O22" s="46"/>
      <c r="P22" s="43"/>
      <c r="Q22" s="47"/>
      <c r="R22" s="85"/>
    </row>
    <row r="23" spans="1:18" ht="24.95" customHeight="1" thickBot="1" x14ac:dyDescent="0.2">
      <c r="A23" s="223"/>
      <c r="B23" s="67"/>
      <c r="C23" s="57"/>
      <c r="D23" s="58"/>
      <c r="E23" s="59"/>
      <c r="F23" s="60"/>
      <c r="G23" s="71"/>
      <c r="H23" s="75"/>
      <c r="I23" s="58"/>
      <c r="J23" s="60"/>
      <c r="K23" s="60"/>
      <c r="L23" s="60"/>
      <c r="M23" s="79"/>
      <c r="N23" s="67"/>
      <c r="O23" s="61"/>
      <c r="P23" s="58"/>
      <c r="Q23" s="62"/>
      <c r="R23" s="86"/>
    </row>
  </sheetData>
  <mergeCells count="4">
    <mergeCell ref="H1:N1"/>
    <mergeCell ref="A2:R2"/>
    <mergeCell ref="A3:F3"/>
    <mergeCell ref="A5:A23"/>
  </mergeCells>
  <phoneticPr fontId="16"/>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1.625" style="27" bestFit="1" customWidth="1"/>
    <col min="4" max="4" width="17.125" style="26" customWidth="1"/>
    <col min="5" max="5" width="8.125" style="29" customWidth="1"/>
    <col min="6" max="6" width="4" style="30" customWidth="1"/>
    <col min="7" max="7" width="10.25" style="30" hidden="1" customWidth="1"/>
    <col min="8" max="8" width="20.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5.7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255</v>
      </c>
      <c r="B3" s="220"/>
      <c r="C3" s="220"/>
      <c r="D3" s="220"/>
      <c r="E3" s="220"/>
      <c r="F3" s="220"/>
      <c r="G3" s="2"/>
      <c r="H3" s="2"/>
      <c r="I3" s="12"/>
      <c r="J3" s="2"/>
      <c r="K3" s="7"/>
      <c r="L3" s="7"/>
      <c r="M3" s="10"/>
      <c r="N3" s="2"/>
      <c r="O3" s="13"/>
      <c r="P3" s="12"/>
      <c r="Q3" s="14"/>
      <c r="R3" s="14"/>
      <c r="S3" s="11"/>
    </row>
    <row r="4" spans="1:19" customFormat="1" ht="24.95"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20</v>
      </c>
      <c r="C5" s="36"/>
      <c r="D5" s="37"/>
      <c r="E5" s="38"/>
      <c r="F5" s="39"/>
      <c r="G5" s="68"/>
      <c r="H5" s="72"/>
      <c r="I5" s="37"/>
      <c r="J5" s="39"/>
      <c r="K5" s="39"/>
      <c r="L5" s="39"/>
      <c r="M5" s="76"/>
      <c r="N5" s="64"/>
      <c r="O5" s="40" t="s">
        <v>20</v>
      </c>
      <c r="P5" s="37"/>
      <c r="Q5" s="41">
        <v>110</v>
      </c>
      <c r="R5" s="83">
        <f>ROUNDUP(Q5*0.75,2)</f>
        <v>82.5</v>
      </c>
    </row>
    <row r="6" spans="1:19" ht="24.95" customHeight="1" x14ac:dyDescent="0.15">
      <c r="A6" s="222"/>
      <c r="B6" s="66"/>
      <c r="C6" s="49"/>
      <c r="D6" s="50"/>
      <c r="E6" s="51"/>
      <c r="F6" s="52"/>
      <c r="G6" s="70"/>
      <c r="H6" s="74"/>
      <c r="I6" s="50"/>
      <c r="J6" s="52"/>
      <c r="K6" s="52"/>
      <c r="L6" s="52"/>
      <c r="M6" s="78"/>
      <c r="N6" s="66"/>
      <c r="O6" s="53"/>
      <c r="P6" s="50"/>
      <c r="Q6" s="54"/>
      <c r="R6" s="84"/>
    </row>
    <row r="7" spans="1:19" ht="24.95" customHeight="1" x14ac:dyDescent="0.15">
      <c r="A7" s="222"/>
      <c r="B7" s="65" t="s">
        <v>202</v>
      </c>
      <c r="C7" s="42" t="s">
        <v>70</v>
      </c>
      <c r="D7" s="43"/>
      <c r="E7" s="44">
        <v>1</v>
      </c>
      <c r="F7" s="45" t="s">
        <v>72</v>
      </c>
      <c r="G7" s="69" t="s">
        <v>71</v>
      </c>
      <c r="H7" s="73" t="s">
        <v>70</v>
      </c>
      <c r="I7" s="43"/>
      <c r="J7" s="45">
        <f>ROUNDUP(E7*0.75,2)</f>
        <v>0.75</v>
      </c>
      <c r="K7" s="45" t="s">
        <v>72</v>
      </c>
      <c r="L7" s="45" t="s">
        <v>71</v>
      </c>
      <c r="M7" s="77" t="e">
        <f>#REF!</f>
        <v>#REF!</v>
      </c>
      <c r="N7" s="65" t="s">
        <v>291</v>
      </c>
      <c r="O7" s="46" t="s">
        <v>67</v>
      </c>
      <c r="P7" s="43"/>
      <c r="Q7" s="47">
        <v>5</v>
      </c>
      <c r="R7" s="85">
        <f t="shared" ref="R7:R12" si="0">ROUNDUP(Q7*0.75,2)</f>
        <v>3.75</v>
      </c>
    </row>
    <row r="8" spans="1:19" ht="24.95" customHeight="1" x14ac:dyDescent="0.15">
      <c r="A8" s="222"/>
      <c r="B8" s="65"/>
      <c r="C8" s="42" t="s">
        <v>89</v>
      </c>
      <c r="D8" s="43"/>
      <c r="E8" s="44">
        <v>2</v>
      </c>
      <c r="F8" s="45" t="s">
        <v>23</v>
      </c>
      <c r="G8" s="69" t="s">
        <v>90</v>
      </c>
      <c r="H8" s="73" t="s">
        <v>89</v>
      </c>
      <c r="I8" s="43"/>
      <c r="J8" s="45">
        <f>ROUNDUP(E8*0.75,2)</f>
        <v>1.5</v>
      </c>
      <c r="K8" s="45" t="s">
        <v>23</v>
      </c>
      <c r="L8" s="45" t="s">
        <v>90</v>
      </c>
      <c r="M8" s="77" t="e">
        <f>#REF!</f>
        <v>#REF!</v>
      </c>
      <c r="N8" s="65" t="s">
        <v>292</v>
      </c>
      <c r="O8" s="46" t="s">
        <v>47</v>
      </c>
      <c r="P8" s="43"/>
      <c r="Q8" s="47">
        <v>6</v>
      </c>
      <c r="R8" s="85">
        <f t="shared" si="0"/>
        <v>4.5</v>
      </c>
    </row>
    <row r="9" spans="1:19" ht="24.95" customHeight="1" x14ac:dyDescent="0.15">
      <c r="A9" s="222"/>
      <c r="B9" s="65"/>
      <c r="C9" s="42" t="s">
        <v>116</v>
      </c>
      <c r="D9" s="43"/>
      <c r="E9" s="44">
        <v>10</v>
      </c>
      <c r="F9" s="45" t="s">
        <v>23</v>
      </c>
      <c r="G9" s="69"/>
      <c r="H9" s="73" t="s">
        <v>116</v>
      </c>
      <c r="I9" s="43"/>
      <c r="J9" s="45">
        <f>ROUNDUP(E9*0.75,2)</f>
        <v>7.5</v>
      </c>
      <c r="K9" s="45" t="s">
        <v>23</v>
      </c>
      <c r="L9" s="45"/>
      <c r="M9" s="77" t="e">
        <f>ROUND(#REF!+(#REF!*10/100),2)</f>
        <v>#REF!</v>
      </c>
      <c r="N9" s="65" t="s">
        <v>203</v>
      </c>
      <c r="O9" s="46" t="s">
        <v>73</v>
      </c>
      <c r="P9" s="43"/>
      <c r="Q9" s="47">
        <v>3</v>
      </c>
      <c r="R9" s="85">
        <f t="shared" si="0"/>
        <v>2.25</v>
      </c>
    </row>
    <row r="10" spans="1:19" ht="24.95" customHeight="1" x14ac:dyDescent="0.15">
      <c r="A10" s="222"/>
      <c r="B10" s="65"/>
      <c r="C10" s="42" t="s">
        <v>207</v>
      </c>
      <c r="D10" s="43"/>
      <c r="E10" s="44">
        <v>10</v>
      </c>
      <c r="F10" s="45" t="s">
        <v>23</v>
      </c>
      <c r="G10" s="69"/>
      <c r="H10" s="73" t="s">
        <v>207</v>
      </c>
      <c r="I10" s="43"/>
      <c r="J10" s="45">
        <f>ROUNDUP(E10*0.75,2)</f>
        <v>7.5</v>
      </c>
      <c r="K10" s="45" t="s">
        <v>23</v>
      </c>
      <c r="L10" s="45"/>
      <c r="M10" s="77" t="e">
        <f>ROUND(#REF!+(#REF!*20/100),2)</f>
        <v>#REF!</v>
      </c>
      <c r="N10" s="65" t="s">
        <v>204</v>
      </c>
      <c r="O10" s="46" t="s">
        <v>28</v>
      </c>
      <c r="P10" s="43" t="s">
        <v>29</v>
      </c>
      <c r="Q10" s="47">
        <v>2</v>
      </c>
      <c r="R10" s="85">
        <f t="shared" si="0"/>
        <v>1.5</v>
      </c>
    </row>
    <row r="11" spans="1:19" ht="24.95" customHeight="1" x14ac:dyDescent="0.15">
      <c r="A11" s="222"/>
      <c r="B11" s="65"/>
      <c r="C11" s="42" t="s">
        <v>78</v>
      </c>
      <c r="D11" s="43"/>
      <c r="E11" s="44">
        <v>5</v>
      </c>
      <c r="F11" s="45" t="s">
        <v>23</v>
      </c>
      <c r="G11" s="69"/>
      <c r="H11" s="73" t="s">
        <v>78</v>
      </c>
      <c r="I11" s="43"/>
      <c r="J11" s="45">
        <f>ROUNDUP(E11*0.75,2)</f>
        <v>3.75</v>
      </c>
      <c r="K11" s="45" t="s">
        <v>23</v>
      </c>
      <c r="L11" s="45"/>
      <c r="M11" s="77" t="e">
        <f>ROUND(#REF!+(#REF!*15/100),2)</f>
        <v>#REF!</v>
      </c>
      <c r="N11" s="65" t="s">
        <v>205</v>
      </c>
      <c r="O11" s="46" t="s">
        <v>26</v>
      </c>
      <c r="P11" s="43"/>
      <c r="Q11" s="47">
        <v>2</v>
      </c>
      <c r="R11" s="85">
        <f t="shared" si="0"/>
        <v>1.5</v>
      </c>
    </row>
    <row r="12" spans="1:19" ht="24.95" customHeight="1" x14ac:dyDescent="0.15">
      <c r="A12" s="222"/>
      <c r="B12" s="65"/>
      <c r="C12" s="42"/>
      <c r="D12" s="43"/>
      <c r="E12" s="44"/>
      <c r="F12" s="45"/>
      <c r="G12" s="69"/>
      <c r="H12" s="73"/>
      <c r="I12" s="43"/>
      <c r="J12" s="45"/>
      <c r="K12" s="45"/>
      <c r="L12" s="45"/>
      <c r="M12" s="77"/>
      <c r="N12" s="65" t="s">
        <v>206</v>
      </c>
      <c r="O12" s="46" t="s">
        <v>49</v>
      </c>
      <c r="P12" s="43"/>
      <c r="Q12" s="47">
        <v>1</v>
      </c>
      <c r="R12" s="85">
        <f t="shared" si="0"/>
        <v>0.75</v>
      </c>
    </row>
    <row r="13" spans="1:19" ht="24.95" customHeight="1" x14ac:dyDescent="0.15">
      <c r="A13" s="222"/>
      <c r="B13" s="66"/>
      <c r="C13" s="49"/>
      <c r="D13" s="50"/>
      <c r="E13" s="51"/>
      <c r="F13" s="52"/>
      <c r="G13" s="70"/>
      <c r="H13" s="74"/>
      <c r="I13" s="50"/>
      <c r="J13" s="52"/>
      <c r="K13" s="52"/>
      <c r="L13" s="52"/>
      <c r="M13" s="78"/>
      <c r="N13" s="66" t="s">
        <v>40</v>
      </c>
      <c r="O13" s="53"/>
      <c r="P13" s="50"/>
      <c r="Q13" s="54"/>
      <c r="R13" s="84"/>
    </row>
    <row r="14" spans="1:19" ht="24.95" customHeight="1" x14ac:dyDescent="0.15">
      <c r="A14" s="222"/>
      <c r="B14" s="65" t="s">
        <v>208</v>
      </c>
      <c r="C14" s="42" t="s">
        <v>50</v>
      </c>
      <c r="D14" s="43"/>
      <c r="E14" s="44">
        <v>30</v>
      </c>
      <c r="F14" s="45" t="s">
        <v>23</v>
      </c>
      <c r="G14" s="69"/>
      <c r="H14" s="73" t="s">
        <v>50</v>
      </c>
      <c r="I14" s="43"/>
      <c r="J14" s="45">
        <f>ROUNDUP(E14*0.75,2)</f>
        <v>22.5</v>
      </c>
      <c r="K14" s="45" t="s">
        <v>23</v>
      </c>
      <c r="L14" s="45"/>
      <c r="M14" s="77" t="e">
        <f>ROUND(#REF!+(#REF!*15/100),2)</f>
        <v>#REF!</v>
      </c>
      <c r="N14" s="65" t="s">
        <v>209</v>
      </c>
      <c r="O14" s="46" t="s">
        <v>47</v>
      </c>
      <c r="P14" s="43"/>
      <c r="Q14" s="47">
        <v>0.5</v>
      </c>
      <c r="R14" s="85">
        <f>ROUNDUP(Q14*0.75,2)</f>
        <v>0.38</v>
      </c>
    </row>
    <row r="15" spans="1:19" ht="24.95" customHeight="1" x14ac:dyDescent="0.15">
      <c r="A15" s="222"/>
      <c r="B15" s="65"/>
      <c r="C15" s="42" t="s">
        <v>69</v>
      </c>
      <c r="D15" s="43"/>
      <c r="E15" s="44">
        <v>10</v>
      </c>
      <c r="F15" s="45" t="s">
        <v>23</v>
      </c>
      <c r="G15" s="69"/>
      <c r="H15" s="73" t="s">
        <v>69</v>
      </c>
      <c r="I15" s="43"/>
      <c r="J15" s="45">
        <f>ROUNDUP(E15*0.75,2)</f>
        <v>7.5</v>
      </c>
      <c r="K15" s="45" t="s">
        <v>23</v>
      </c>
      <c r="L15" s="45"/>
      <c r="M15" s="77" t="e">
        <f>ROUND(#REF!+(#REF!*3/100),2)</f>
        <v>#REF!</v>
      </c>
      <c r="N15" s="65" t="s">
        <v>210</v>
      </c>
      <c r="O15" s="46" t="s">
        <v>28</v>
      </c>
      <c r="P15" s="43" t="s">
        <v>29</v>
      </c>
      <c r="Q15" s="47">
        <v>1</v>
      </c>
      <c r="R15" s="85">
        <f>ROUNDUP(Q15*0.75,2)</f>
        <v>0.75</v>
      </c>
    </row>
    <row r="16" spans="1:19" ht="24.95" customHeight="1" x14ac:dyDescent="0.15">
      <c r="A16" s="222"/>
      <c r="B16" s="65"/>
      <c r="C16" s="42" t="s">
        <v>54</v>
      </c>
      <c r="D16" s="43" t="s">
        <v>55</v>
      </c>
      <c r="E16" s="63">
        <v>0.5</v>
      </c>
      <c r="F16" s="45" t="s">
        <v>56</v>
      </c>
      <c r="G16" s="69"/>
      <c r="H16" s="73" t="s">
        <v>54</v>
      </c>
      <c r="I16" s="43" t="s">
        <v>55</v>
      </c>
      <c r="J16" s="45">
        <f>ROUNDUP(E16*0.75,2)</f>
        <v>0.38</v>
      </c>
      <c r="K16" s="45" t="s">
        <v>56</v>
      </c>
      <c r="L16" s="45"/>
      <c r="M16" s="77" t="e">
        <f>#REF!</f>
        <v>#REF!</v>
      </c>
      <c r="N16" s="65" t="s">
        <v>109</v>
      </c>
      <c r="O16" s="46" t="s">
        <v>25</v>
      </c>
      <c r="P16" s="43"/>
      <c r="Q16" s="47">
        <v>2</v>
      </c>
      <c r="R16" s="85">
        <f>ROUNDUP(Q16*0.75,2)</f>
        <v>1.5</v>
      </c>
    </row>
    <row r="17" spans="1:18" ht="24.95" customHeight="1" x14ac:dyDescent="0.15">
      <c r="A17" s="222"/>
      <c r="B17" s="65"/>
      <c r="C17" s="42"/>
      <c r="D17" s="43"/>
      <c r="E17" s="44"/>
      <c r="F17" s="45"/>
      <c r="G17" s="69"/>
      <c r="H17" s="73"/>
      <c r="I17" s="43"/>
      <c r="J17" s="45"/>
      <c r="K17" s="45"/>
      <c r="L17" s="45"/>
      <c r="M17" s="77"/>
      <c r="N17" s="65" t="s">
        <v>40</v>
      </c>
      <c r="O17" s="46" t="s">
        <v>26</v>
      </c>
      <c r="P17" s="43"/>
      <c r="Q17" s="47">
        <v>1</v>
      </c>
      <c r="R17" s="85">
        <f>ROUNDUP(Q17*0.75,2)</f>
        <v>0.75</v>
      </c>
    </row>
    <row r="18" spans="1:18" ht="24.95" customHeight="1" x14ac:dyDescent="0.15">
      <c r="A18" s="222"/>
      <c r="B18" s="66"/>
      <c r="C18" s="49"/>
      <c r="D18" s="50"/>
      <c r="E18" s="51"/>
      <c r="F18" s="52"/>
      <c r="G18" s="70"/>
      <c r="H18" s="74"/>
      <c r="I18" s="50"/>
      <c r="J18" s="52"/>
      <c r="K18" s="52"/>
      <c r="L18" s="52"/>
      <c r="M18" s="78"/>
      <c r="N18" s="66"/>
      <c r="O18" s="53"/>
      <c r="P18" s="50"/>
      <c r="Q18" s="54"/>
      <c r="R18" s="84"/>
    </row>
    <row r="19" spans="1:18" ht="24.95" customHeight="1" x14ac:dyDescent="0.15">
      <c r="A19" s="222"/>
      <c r="B19" s="65" t="s">
        <v>80</v>
      </c>
      <c r="C19" s="42" t="s">
        <v>42</v>
      </c>
      <c r="D19" s="43"/>
      <c r="E19" s="48">
        <v>0.1</v>
      </c>
      <c r="F19" s="45" t="s">
        <v>43</v>
      </c>
      <c r="G19" s="69" t="s">
        <v>22</v>
      </c>
      <c r="H19" s="73" t="s">
        <v>42</v>
      </c>
      <c r="I19" s="43"/>
      <c r="J19" s="45">
        <f>ROUNDUP(E19*0.75,2)</f>
        <v>0.08</v>
      </c>
      <c r="K19" s="45" t="s">
        <v>43</v>
      </c>
      <c r="L19" s="45" t="s">
        <v>22</v>
      </c>
      <c r="M19" s="77" t="e">
        <f>#REF!</f>
        <v>#REF!</v>
      </c>
      <c r="N19" s="65" t="s">
        <v>40</v>
      </c>
      <c r="O19" s="46" t="s">
        <v>25</v>
      </c>
      <c r="P19" s="43"/>
      <c r="Q19" s="47">
        <v>100</v>
      </c>
      <c r="R19" s="85">
        <f>ROUNDUP(Q19*0.75,2)</f>
        <v>75</v>
      </c>
    </row>
    <row r="20" spans="1:18" ht="24.95" customHeight="1" x14ac:dyDescent="0.15">
      <c r="A20" s="222"/>
      <c r="B20" s="65"/>
      <c r="C20" s="42" t="s">
        <v>93</v>
      </c>
      <c r="D20" s="43"/>
      <c r="E20" s="44">
        <v>0.5</v>
      </c>
      <c r="F20" s="45" t="s">
        <v>23</v>
      </c>
      <c r="G20" s="69" t="s">
        <v>94</v>
      </c>
      <c r="H20" s="73" t="s">
        <v>93</v>
      </c>
      <c r="I20" s="43"/>
      <c r="J20" s="45">
        <f>ROUNDUP(E20*0.75,2)</f>
        <v>0.38</v>
      </c>
      <c r="K20" s="45" t="s">
        <v>23</v>
      </c>
      <c r="L20" s="45" t="s">
        <v>94</v>
      </c>
      <c r="M20" s="77" t="e">
        <f>#REF!</f>
        <v>#REF!</v>
      </c>
      <c r="N20" s="65"/>
      <c r="O20" s="46" t="s">
        <v>48</v>
      </c>
      <c r="P20" s="43"/>
      <c r="Q20" s="47">
        <v>3</v>
      </c>
      <c r="R20" s="85">
        <f>ROUNDUP(Q20*0.75,2)</f>
        <v>2.25</v>
      </c>
    </row>
    <row r="21" spans="1:18" ht="24.95" customHeight="1" x14ac:dyDescent="0.15">
      <c r="A21" s="222"/>
      <c r="B21" s="66"/>
      <c r="C21" s="49"/>
      <c r="D21" s="50"/>
      <c r="E21" s="51"/>
      <c r="F21" s="52"/>
      <c r="G21" s="70"/>
      <c r="H21" s="74"/>
      <c r="I21" s="50"/>
      <c r="J21" s="52"/>
      <c r="K21" s="52"/>
      <c r="L21" s="52"/>
      <c r="M21" s="78"/>
      <c r="N21" s="66"/>
      <c r="O21" s="53"/>
      <c r="P21" s="50"/>
      <c r="Q21" s="54"/>
      <c r="R21" s="84"/>
    </row>
    <row r="22" spans="1:18" ht="24.95" customHeight="1" x14ac:dyDescent="0.15">
      <c r="A22" s="222"/>
      <c r="B22" s="65" t="s">
        <v>58</v>
      </c>
      <c r="C22" s="42" t="s">
        <v>60</v>
      </c>
      <c r="D22" s="43"/>
      <c r="E22" s="56">
        <v>0.16666666666666666</v>
      </c>
      <c r="F22" s="45" t="s">
        <v>56</v>
      </c>
      <c r="G22" s="69"/>
      <c r="H22" s="73" t="s">
        <v>60</v>
      </c>
      <c r="I22" s="43"/>
      <c r="J22" s="45">
        <f>ROUNDUP(E22*0.75,2)</f>
        <v>0.13</v>
      </c>
      <c r="K22" s="45" t="s">
        <v>56</v>
      </c>
      <c r="L22" s="45"/>
      <c r="M22" s="77" t="e">
        <f>#REF!</f>
        <v>#REF!</v>
      </c>
      <c r="N22" s="65" t="s">
        <v>59</v>
      </c>
      <c r="O22" s="46"/>
      <c r="P22" s="43"/>
      <c r="Q22" s="47"/>
      <c r="R22" s="85"/>
    </row>
    <row r="23" spans="1:18" ht="24.95" customHeight="1" thickBot="1" x14ac:dyDescent="0.2">
      <c r="A23" s="223"/>
      <c r="B23" s="67"/>
      <c r="C23" s="57"/>
      <c r="D23" s="58"/>
      <c r="E23" s="59"/>
      <c r="F23" s="60"/>
      <c r="G23" s="71"/>
      <c r="H23" s="75"/>
      <c r="I23" s="58"/>
      <c r="J23" s="60"/>
      <c r="K23" s="60"/>
      <c r="L23" s="60"/>
      <c r="M23" s="79"/>
      <c r="N23" s="67"/>
      <c r="O23" s="61"/>
      <c r="P23" s="58"/>
      <c r="Q23" s="62"/>
      <c r="R23" s="86"/>
    </row>
  </sheetData>
  <mergeCells count="4">
    <mergeCell ref="H1:N1"/>
    <mergeCell ref="A2:R2"/>
    <mergeCell ref="A3:F3"/>
    <mergeCell ref="A5:A23"/>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17" style="27" bestFit="1" customWidth="1"/>
    <col min="4" max="4" width="17.125" style="26" customWidth="1"/>
    <col min="5" max="5" width="8.125" style="29" customWidth="1"/>
    <col min="6" max="6" width="4" style="30" customWidth="1"/>
    <col min="7" max="7" width="10.25" style="30" hidden="1" customWidth="1"/>
    <col min="8" max="8" width="15.37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62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256</v>
      </c>
      <c r="B3" s="220"/>
      <c r="C3" s="220"/>
      <c r="D3" s="220"/>
      <c r="E3" s="220"/>
      <c r="F3" s="220"/>
      <c r="G3" s="2"/>
      <c r="H3" s="2"/>
      <c r="I3" s="12"/>
      <c r="J3" s="2"/>
      <c r="K3" s="7"/>
      <c r="L3" s="7"/>
      <c r="M3" s="10"/>
      <c r="N3" s="2"/>
      <c r="O3" s="13"/>
      <c r="P3" s="12"/>
      <c r="Q3" s="14"/>
      <c r="R3" s="14"/>
      <c r="S3" s="11"/>
    </row>
    <row r="4" spans="1:19" customFormat="1" ht="24.95"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212</v>
      </c>
      <c r="C5" s="36" t="s">
        <v>215</v>
      </c>
      <c r="D5" s="37" t="s">
        <v>150</v>
      </c>
      <c r="E5" s="38">
        <v>40</v>
      </c>
      <c r="F5" s="39" t="s">
        <v>23</v>
      </c>
      <c r="G5" s="68" t="s">
        <v>216</v>
      </c>
      <c r="H5" s="72" t="s">
        <v>215</v>
      </c>
      <c r="I5" s="37" t="s">
        <v>150</v>
      </c>
      <c r="J5" s="39">
        <f>ROUNDUP(E5*0.75,2)</f>
        <v>30</v>
      </c>
      <c r="K5" s="39" t="s">
        <v>23</v>
      </c>
      <c r="L5" s="39" t="s">
        <v>216</v>
      </c>
      <c r="M5" s="76" t="e">
        <f>#REF!</f>
        <v>#REF!</v>
      </c>
      <c r="N5" s="64" t="s">
        <v>75</v>
      </c>
      <c r="O5" s="40" t="s">
        <v>27</v>
      </c>
      <c r="P5" s="37"/>
      <c r="Q5" s="41">
        <v>0.5</v>
      </c>
      <c r="R5" s="83">
        <f t="shared" ref="R5:R10" si="0">ROUNDUP(Q5*0.75,2)</f>
        <v>0.38</v>
      </c>
    </row>
    <row r="6" spans="1:19" ht="24.95" customHeight="1" x14ac:dyDescent="0.15">
      <c r="A6" s="222"/>
      <c r="B6" s="65"/>
      <c r="C6" s="42" t="s">
        <v>76</v>
      </c>
      <c r="D6" s="43"/>
      <c r="E6" s="44">
        <v>30</v>
      </c>
      <c r="F6" s="45" t="s">
        <v>23</v>
      </c>
      <c r="G6" s="69" t="s">
        <v>35</v>
      </c>
      <c r="H6" s="73" t="s">
        <v>76</v>
      </c>
      <c r="I6" s="43"/>
      <c r="J6" s="45">
        <f>ROUNDUP(E6*0.75,2)</f>
        <v>22.5</v>
      </c>
      <c r="K6" s="45" t="s">
        <v>23</v>
      </c>
      <c r="L6" s="45" t="s">
        <v>35</v>
      </c>
      <c r="M6" s="77" t="e">
        <f>#REF!</f>
        <v>#REF!</v>
      </c>
      <c r="N6" s="65" t="s">
        <v>213</v>
      </c>
      <c r="O6" s="46" t="s">
        <v>47</v>
      </c>
      <c r="P6" s="43"/>
      <c r="Q6" s="47">
        <v>2</v>
      </c>
      <c r="R6" s="85">
        <f t="shared" si="0"/>
        <v>1.5</v>
      </c>
    </row>
    <row r="7" spans="1:19" ht="24.95" customHeight="1" x14ac:dyDescent="0.15">
      <c r="A7" s="222"/>
      <c r="B7" s="65"/>
      <c r="C7" s="42" t="s">
        <v>53</v>
      </c>
      <c r="D7" s="43"/>
      <c r="E7" s="44">
        <v>20</v>
      </c>
      <c r="F7" s="45" t="s">
        <v>23</v>
      </c>
      <c r="G7" s="69"/>
      <c r="H7" s="73" t="s">
        <v>53</v>
      </c>
      <c r="I7" s="43"/>
      <c r="J7" s="45">
        <f>ROUNDUP(E7*0.75,2)</f>
        <v>15</v>
      </c>
      <c r="K7" s="45" t="s">
        <v>23</v>
      </c>
      <c r="L7" s="45"/>
      <c r="M7" s="77" t="e">
        <f>ROUND(#REF!+(#REF!*10/100),2)</f>
        <v>#REF!</v>
      </c>
      <c r="N7" s="65" t="s">
        <v>214</v>
      </c>
      <c r="O7" s="46" t="s">
        <v>25</v>
      </c>
      <c r="P7" s="43"/>
      <c r="Q7" s="47">
        <v>130</v>
      </c>
      <c r="R7" s="85">
        <f t="shared" si="0"/>
        <v>97.5</v>
      </c>
    </row>
    <row r="8" spans="1:19" ht="24.95" customHeight="1" x14ac:dyDescent="0.15">
      <c r="A8" s="222"/>
      <c r="B8" s="65"/>
      <c r="C8" s="42" t="s">
        <v>69</v>
      </c>
      <c r="D8" s="43"/>
      <c r="E8" s="44">
        <v>10</v>
      </c>
      <c r="F8" s="45" t="s">
        <v>23</v>
      </c>
      <c r="G8" s="69"/>
      <c r="H8" s="73" t="s">
        <v>69</v>
      </c>
      <c r="I8" s="43"/>
      <c r="J8" s="45">
        <f>ROUNDUP(E8*0.75,2)</f>
        <v>7.5</v>
      </c>
      <c r="K8" s="45" t="s">
        <v>23</v>
      </c>
      <c r="L8" s="45"/>
      <c r="M8" s="77" t="e">
        <f>ROUND(#REF!+(#REF!*3/100),2)</f>
        <v>#REF!</v>
      </c>
      <c r="N8" s="65" t="s">
        <v>40</v>
      </c>
      <c r="O8" s="46" t="s">
        <v>49</v>
      </c>
      <c r="P8" s="43"/>
      <c r="Q8" s="47">
        <v>2</v>
      </c>
      <c r="R8" s="85">
        <f t="shared" si="0"/>
        <v>1.5</v>
      </c>
    </row>
    <row r="9" spans="1:19" ht="24.95" customHeight="1" x14ac:dyDescent="0.15">
      <c r="A9" s="222"/>
      <c r="B9" s="65"/>
      <c r="C9" s="42" t="s">
        <v>113</v>
      </c>
      <c r="D9" s="43"/>
      <c r="E9" s="44">
        <v>10</v>
      </c>
      <c r="F9" s="45" t="s">
        <v>23</v>
      </c>
      <c r="G9" s="69"/>
      <c r="H9" s="73" t="s">
        <v>113</v>
      </c>
      <c r="I9" s="43"/>
      <c r="J9" s="45">
        <f>ROUNDUP(E9*0.75,2)</f>
        <v>7.5</v>
      </c>
      <c r="K9" s="45" t="s">
        <v>23</v>
      </c>
      <c r="L9" s="45"/>
      <c r="M9" s="77" t="e">
        <f>ROUND(#REF!+(#REF!*15/100),2)</f>
        <v>#REF!</v>
      </c>
      <c r="N9" s="65"/>
      <c r="O9" s="46" t="s">
        <v>57</v>
      </c>
      <c r="P9" s="43"/>
      <c r="Q9" s="47">
        <v>0.1</v>
      </c>
      <c r="R9" s="85">
        <f t="shared" si="0"/>
        <v>0.08</v>
      </c>
    </row>
    <row r="10" spans="1:19" ht="24.95" customHeight="1" x14ac:dyDescent="0.15">
      <c r="A10" s="222"/>
      <c r="B10" s="65"/>
      <c r="C10" s="42"/>
      <c r="D10" s="43"/>
      <c r="E10" s="44"/>
      <c r="F10" s="45"/>
      <c r="G10" s="69"/>
      <c r="H10" s="73"/>
      <c r="I10" s="43"/>
      <c r="J10" s="45"/>
      <c r="K10" s="45"/>
      <c r="L10" s="45"/>
      <c r="M10" s="77"/>
      <c r="N10" s="65"/>
      <c r="O10" s="46" t="s">
        <v>28</v>
      </c>
      <c r="P10" s="43" t="s">
        <v>29</v>
      </c>
      <c r="Q10" s="47">
        <v>3.5</v>
      </c>
      <c r="R10" s="85">
        <f t="shared" si="0"/>
        <v>2.63</v>
      </c>
    </row>
    <row r="11" spans="1:19" ht="24.95" customHeight="1" x14ac:dyDescent="0.15">
      <c r="A11" s="222"/>
      <c r="B11" s="66"/>
      <c r="C11" s="49"/>
      <c r="D11" s="50"/>
      <c r="E11" s="51"/>
      <c r="F11" s="52"/>
      <c r="G11" s="70"/>
      <c r="H11" s="74"/>
      <c r="I11" s="50"/>
      <c r="J11" s="52"/>
      <c r="K11" s="52"/>
      <c r="L11" s="52"/>
      <c r="M11" s="78"/>
      <c r="N11" s="66"/>
      <c r="O11" s="53"/>
      <c r="P11" s="50"/>
      <c r="Q11" s="54"/>
      <c r="R11" s="84"/>
    </row>
    <row r="12" spans="1:19" ht="24.95" customHeight="1" x14ac:dyDescent="0.15">
      <c r="A12" s="222"/>
      <c r="B12" s="65" t="s">
        <v>218</v>
      </c>
      <c r="C12" s="42" t="s">
        <v>191</v>
      </c>
      <c r="D12" s="43"/>
      <c r="E12" s="81">
        <v>0.25</v>
      </c>
      <c r="F12" s="45" t="s">
        <v>66</v>
      </c>
      <c r="G12" s="69" t="s">
        <v>22</v>
      </c>
      <c r="H12" s="73" t="s">
        <v>191</v>
      </c>
      <c r="I12" s="43"/>
      <c r="J12" s="45">
        <f>ROUNDUP(E12*0.75,2)</f>
        <v>0.19</v>
      </c>
      <c r="K12" s="45" t="s">
        <v>66</v>
      </c>
      <c r="L12" s="45" t="s">
        <v>22</v>
      </c>
      <c r="M12" s="77" t="e">
        <f>#REF!</f>
        <v>#REF!</v>
      </c>
      <c r="N12" s="65" t="s">
        <v>219</v>
      </c>
      <c r="O12" s="46" t="s">
        <v>25</v>
      </c>
      <c r="P12" s="43"/>
      <c r="Q12" s="47">
        <v>10</v>
      </c>
      <c r="R12" s="85">
        <f t="shared" ref="R12:R19" si="1">ROUNDUP(Q12*0.75,2)</f>
        <v>7.5</v>
      </c>
    </row>
    <row r="13" spans="1:19" ht="24.95" customHeight="1" x14ac:dyDescent="0.15">
      <c r="A13" s="222"/>
      <c r="B13" s="65"/>
      <c r="C13" s="42" t="s">
        <v>95</v>
      </c>
      <c r="D13" s="43"/>
      <c r="E13" s="44">
        <v>5</v>
      </c>
      <c r="F13" s="45" t="s">
        <v>23</v>
      </c>
      <c r="G13" s="69"/>
      <c r="H13" s="73" t="s">
        <v>95</v>
      </c>
      <c r="I13" s="43"/>
      <c r="J13" s="45">
        <f>ROUNDUP(E13*0.75,2)</f>
        <v>3.75</v>
      </c>
      <c r="K13" s="45" t="s">
        <v>23</v>
      </c>
      <c r="L13" s="45"/>
      <c r="M13" s="77" t="e">
        <f>ROUND(#REF!+(#REF!*15/100),2)</f>
        <v>#REF!</v>
      </c>
      <c r="N13" s="65" t="s">
        <v>220</v>
      </c>
      <c r="O13" s="46" t="s">
        <v>28</v>
      </c>
      <c r="P13" s="43" t="s">
        <v>29</v>
      </c>
      <c r="Q13" s="47">
        <v>0.8</v>
      </c>
      <c r="R13" s="85">
        <f t="shared" si="1"/>
        <v>0.6</v>
      </c>
    </row>
    <row r="14" spans="1:19" ht="24.95" customHeight="1" x14ac:dyDescent="0.15">
      <c r="A14" s="222"/>
      <c r="B14" s="65"/>
      <c r="C14" s="42" t="s">
        <v>86</v>
      </c>
      <c r="D14" s="43"/>
      <c r="E14" s="44">
        <v>2</v>
      </c>
      <c r="F14" s="45" t="s">
        <v>23</v>
      </c>
      <c r="G14" s="69"/>
      <c r="H14" s="73" t="s">
        <v>86</v>
      </c>
      <c r="I14" s="43"/>
      <c r="J14" s="45">
        <f>ROUNDUP(E14*0.75,2)</f>
        <v>1.5</v>
      </c>
      <c r="K14" s="45" t="s">
        <v>23</v>
      </c>
      <c r="L14" s="45"/>
      <c r="M14" s="77" t="e">
        <f>ROUND(#REF!+(#REF!*10/100),2)</f>
        <v>#REF!</v>
      </c>
      <c r="N14" s="65" t="s">
        <v>221</v>
      </c>
      <c r="O14" s="46" t="s">
        <v>26</v>
      </c>
      <c r="P14" s="43"/>
      <c r="Q14" s="47">
        <v>0.4</v>
      </c>
      <c r="R14" s="85">
        <f t="shared" si="1"/>
        <v>0.3</v>
      </c>
    </row>
    <row r="15" spans="1:19" ht="24.95" customHeight="1" x14ac:dyDescent="0.15">
      <c r="A15" s="222"/>
      <c r="B15" s="65"/>
      <c r="C15" s="42"/>
      <c r="D15" s="43"/>
      <c r="E15" s="44"/>
      <c r="F15" s="45"/>
      <c r="G15" s="69"/>
      <c r="H15" s="73"/>
      <c r="I15" s="43"/>
      <c r="J15" s="45"/>
      <c r="K15" s="45"/>
      <c r="L15" s="45"/>
      <c r="M15" s="77"/>
      <c r="N15" s="65" t="s">
        <v>280</v>
      </c>
      <c r="O15" s="46" t="s">
        <v>124</v>
      </c>
      <c r="P15" s="43"/>
      <c r="Q15" s="47">
        <v>1.5</v>
      </c>
      <c r="R15" s="85">
        <f t="shared" si="1"/>
        <v>1.1300000000000001</v>
      </c>
    </row>
    <row r="16" spans="1:19" ht="24.95" customHeight="1" x14ac:dyDescent="0.15">
      <c r="A16" s="222"/>
      <c r="B16" s="65"/>
      <c r="C16" s="42"/>
      <c r="D16" s="43"/>
      <c r="E16" s="44"/>
      <c r="F16" s="45"/>
      <c r="G16" s="69"/>
      <c r="H16" s="73"/>
      <c r="I16" s="43"/>
      <c r="J16" s="45"/>
      <c r="K16" s="45"/>
      <c r="L16" s="45"/>
      <c r="M16" s="77"/>
      <c r="N16" s="65" t="s">
        <v>281</v>
      </c>
      <c r="O16" s="46" t="s">
        <v>25</v>
      </c>
      <c r="P16" s="43"/>
      <c r="Q16" s="47">
        <v>20</v>
      </c>
      <c r="R16" s="85">
        <f t="shared" si="1"/>
        <v>15</v>
      </c>
    </row>
    <row r="17" spans="1:18" ht="24.95" customHeight="1" x14ac:dyDescent="0.15">
      <c r="A17" s="222"/>
      <c r="B17" s="65"/>
      <c r="C17" s="42"/>
      <c r="D17" s="43"/>
      <c r="E17" s="44"/>
      <c r="F17" s="45"/>
      <c r="G17" s="69"/>
      <c r="H17" s="73"/>
      <c r="I17" s="43"/>
      <c r="J17" s="45"/>
      <c r="K17" s="45"/>
      <c r="L17" s="45"/>
      <c r="M17" s="77"/>
      <c r="N17" s="65" t="s">
        <v>222</v>
      </c>
      <c r="O17" s="46" t="s">
        <v>49</v>
      </c>
      <c r="P17" s="43"/>
      <c r="Q17" s="47">
        <v>1</v>
      </c>
      <c r="R17" s="85">
        <f t="shared" si="1"/>
        <v>0.75</v>
      </c>
    </row>
    <row r="18" spans="1:18" ht="24.95" customHeight="1" x14ac:dyDescent="0.15">
      <c r="A18" s="222"/>
      <c r="B18" s="65"/>
      <c r="C18" s="42"/>
      <c r="D18" s="43"/>
      <c r="E18" s="44"/>
      <c r="F18" s="45"/>
      <c r="G18" s="69"/>
      <c r="H18" s="73"/>
      <c r="I18" s="43"/>
      <c r="J18" s="45"/>
      <c r="K18" s="45"/>
      <c r="L18" s="45"/>
      <c r="M18" s="77"/>
      <c r="N18" s="65" t="s">
        <v>40</v>
      </c>
      <c r="O18" s="46" t="s">
        <v>28</v>
      </c>
      <c r="P18" s="43" t="s">
        <v>29</v>
      </c>
      <c r="Q18" s="47">
        <v>1</v>
      </c>
      <c r="R18" s="85">
        <f t="shared" si="1"/>
        <v>0.75</v>
      </c>
    </row>
    <row r="19" spans="1:18" ht="24.95" customHeight="1" x14ac:dyDescent="0.15">
      <c r="A19" s="222"/>
      <c r="B19" s="65"/>
      <c r="C19" s="42"/>
      <c r="D19" s="43"/>
      <c r="E19" s="44"/>
      <c r="F19" s="45"/>
      <c r="G19" s="69"/>
      <c r="H19" s="73"/>
      <c r="I19" s="43"/>
      <c r="J19" s="45"/>
      <c r="K19" s="45"/>
      <c r="L19" s="45"/>
      <c r="M19" s="77"/>
      <c r="N19" s="65"/>
      <c r="O19" s="46" t="s">
        <v>67</v>
      </c>
      <c r="P19" s="43"/>
      <c r="Q19" s="47">
        <v>1</v>
      </c>
      <c r="R19" s="85">
        <f t="shared" si="1"/>
        <v>0.75</v>
      </c>
    </row>
    <row r="20" spans="1:18" ht="24.95" customHeight="1" x14ac:dyDescent="0.15">
      <c r="A20" s="222"/>
      <c r="B20" s="66"/>
      <c r="C20" s="49"/>
      <c r="D20" s="50"/>
      <c r="E20" s="51"/>
      <c r="F20" s="52"/>
      <c r="G20" s="70"/>
      <c r="H20" s="74"/>
      <c r="I20" s="50"/>
      <c r="J20" s="52"/>
      <c r="K20" s="52"/>
      <c r="L20" s="52"/>
      <c r="M20" s="78"/>
      <c r="N20" s="66"/>
      <c r="O20" s="53"/>
      <c r="P20" s="50"/>
      <c r="Q20" s="54"/>
      <c r="R20" s="84"/>
    </row>
    <row r="21" spans="1:18" ht="24.95" customHeight="1" x14ac:dyDescent="0.15">
      <c r="A21" s="222"/>
      <c r="B21" s="65" t="s">
        <v>96</v>
      </c>
      <c r="C21" s="42" t="s">
        <v>100</v>
      </c>
      <c r="D21" s="43" t="s">
        <v>63</v>
      </c>
      <c r="E21" s="44">
        <v>40</v>
      </c>
      <c r="F21" s="45" t="s">
        <v>23</v>
      </c>
      <c r="G21" s="69"/>
      <c r="H21" s="73" t="s">
        <v>100</v>
      </c>
      <c r="I21" s="43" t="s">
        <v>63</v>
      </c>
      <c r="J21" s="45">
        <f>ROUNDUP(E21*0.75,2)</f>
        <v>30</v>
      </c>
      <c r="K21" s="45" t="s">
        <v>23</v>
      </c>
      <c r="L21" s="45"/>
      <c r="M21" s="77" t="e">
        <f>#REF!</f>
        <v>#REF!</v>
      </c>
      <c r="N21" s="65" t="s">
        <v>97</v>
      </c>
      <c r="O21" s="46" t="s">
        <v>26</v>
      </c>
      <c r="P21" s="43"/>
      <c r="Q21" s="47">
        <v>1</v>
      </c>
      <c r="R21" s="85">
        <f>ROUNDUP(Q21*0.75,2)</f>
        <v>0.75</v>
      </c>
    </row>
    <row r="22" spans="1:18" ht="24.95" customHeight="1" x14ac:dyDescent="0.15">
      <c r="A22" s="222"/>
      <c r="B22" s="65"/>
      <c r="C22" s="42"/>
      <c r="D22" s="43"/>
      <c r="E22" s="44"/>
      <c r="F22" s="45"/>
      <c r="G22" s="69"/>
      <c r="H22" s="73"/>
      <c r="I22" s="43"/>
      <c r="J22" s="45"/>
      <c r="K22" s="45"/>
      <c r="L22" s="45"/>
      <c r="M22" s="77"/>
      <c r="N22" s="65" t="s">
        <v>98</v>
      </c>
      <c r="O22" s="46" t="s">
        <v>73</v>
      </c>
      <c r="P22" s="43"/>
      <c r="Q22" s="47">
        <v>3</v>
      </c>
      <c r="R22" s="85">
        <f>ROUNDUP(Q22*0.75,2)</f>
        <v>2.25</v>
      </c>
    </row>
    <row r="23" spans="1:18" ht="24.95" customHeight="1" x14ac:dyDescent="0.15">
      <c r="A23" s="222"/>
      <c r="B23" s="65"/>
      <c r="C23" s="42"/>
      <c r="D23" s="43"/>
      <c r="E23" s="44"/>
      <c r="F23" s="45"/>
      <c r="G23" s="69"/>
      <c r="H23" s="73"/>
      <c r="I23" s="43"/>
      <c r="J23" s="45"/>
      <c r="K23" s="45"/>
      <c r="L23" s="45"/>
      <c r="M23" s="77"/>
      <c r="N23" s="65" t="s">
        <v>99</v>
      </c>
      <c r="O23" s="46"/>
      <c r="P23" s="43"/>
      <c r="Q23" s="47"/>
      <c r="R23" s="85"/>
    </row>
    <row r="24" spans="1:18" ht="24.95" customHeight="1" x14ac:dyDescent="0.15">
      <c r="A24" s="222"/>
      <c r="B24" s="65"/>
      <c r="C24" s="42"/>
      <c r="D24" s="43"/>
      <c r="E24" s="44"/>
      <c r="F24" s="45"/>
      <c r="G24" s="69"/>
      <c r="H24" s="73"/>
      <c r="I24" s="43"/>
      <c r="J24" s="45"/>
      <c r="K24" s="45"/>
      <c r="L24" s="45"/>
      <c r="M24" s="77"/>
      <c r="N24" s="65" t="s">
        <v>40</v>
      </c>
      <c r="O24" s="46"/>
      <c r="P24" s="43"/>
      <c r="Q24" s="47"/>
      <c r="R24" s="85"/>
    </row>
    <row r="25" spans="1:18" ht="24.95" customHeight="1" thickBot="1" x14ac:dyDescent="0.2">
      <c r="A25" s="223"/>
      <c r="B25" s="67"/>
      <c r="C25" s="57"/>
      <c r="D25" s="58"/>
      <c r="E25" s="59"/>
      <c r="F25" s="60"/>
      <c r="G25" s="71"/>
      <c r="H25" s="75"/>
      <c r="I25" s="58"/>
      <c r="J25" s="60"/>
      <c r="K25" s="60"/>
      <c r="L25" s="60"/>
      <c r="M25" s="79"/>
      <c r="N25" s="67"/>
      <c r="O25" s="61"/>
      <c r="P25" s="58"/>
      <c r="Q25" s="62"/>
      <c r="R25" s="86"/>
    </row>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Zeros="0" zoomScale="60" zoomScaleNormal="60" zoomScaleSheetLayoutView="80" workbookViewId="0"/>
  </sheetViews>
  <sheetFormatPr defaultRowHeight="18.75" customHeight="1" x14ac:dyDescent="0.15"/>
  <cols>
    <col min="1" max="1" width="4.125" style="28" customWidth="1"/>
    <col min="2" max="2" width="19.75" style="27" bestFit="1" customWidth="1"/>
    <col min="3" max="3" width="24.75" style="27" customWidth="1"/>
    <col min="4" max="4" width="17.125" style="26" customWidth="1"/>
    <col min="5" max="5" width="8.125" style="29" customWidth="1"/>
    <col min="6" max="6" width="4" style="30" customWidth="1"/>
    <col min="7" max="7" width="10.25" style="30" hidden="1" customWidth="1"/>
    <col min="8" max="8" width="22.87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4.7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x14ac:dyDescent="0.15">
      <c r="A1" s="1" t="s">
        <v>12</v>
      </c>
      <c r="B1" s="1"/>
      <c r="C1" s="2"/>
      <c r="D1" s="3"/>
      <c r="E1" s="2"/>
      <c r="F1" s="2"/>
      <c r="G1" s="2"/>
      <c r="H1" s="217"/>
      <c r="I1" s="217"/>
      <c r="J1" s="218"/>
      <c r="K1" s="218"/>
      <c r="L1" s="218"/>
      <c r="M1" s="218"/>
      <c r="N1" s="218"/>
      <c r="O1" s="2"/>
      <c r="P1" s="2"/>
      <c r="Q1" s="4"/>
      <c r="R1" s="4"/>
      <c r="S1" s="3"/>
    </row>
    <row r="2" spans="1:26" ht="36.75" customHeight="1" x14ac:dyDescent="0.15">
      <c r="A2" s="217" t="s">
        <v>0</v>
      </c>
      <c r="B2" s="217"/>
      <c r="C2" s="218"/>
      <c r="D2" s="218"/>
      <c r="E2" s="218"/>
      <c r="F2" s="218"/>
      <c r="G2" s="218"/>
      <c r="H2" s="218"/>
      <c r="I2" s="218"/>
      <c r="J2" s="218"/>
      <c r="K2" s="218"/>
      <c r="L2" s="218"/>
      <c r="M2" s="218"/>
      <c r="N2" s="218"/>
      <c r="O2" s="218"/>
      <c r="P2" s="218"/>
      <c r="Q2" s="218"/>
      <c r="R2" s="218"/>
      <c r="S2" s="3"/>
    </row>
    <row r="3" spans="1:26" ht="22.5" customHeight="1" x14ac:dyDescent="0.15">
      <c r="A3" s="5"/>
      <c r="B3" s="224" t="s">
        <v>295</v>
      </c>
      <c r="C3" s="224"/>
      <c r="D3" s="3"/>
      <c r="E3" s="6"/>
      <c r="F3" s="2"/>
      <c r="G3" s="2"/>
      <c r="H3" s="2"/>
      <c r="I3" s="3"/>
      <c r="J3" s="2"/>
      <c r="K3" s="7"/>
      <c r="L3" s="7"/>
      <c r="M3" s="8"/>
      <c r="N3" s="2"/>
      <c r="O3" s="3"/>
      <c r="P3"/>
      <c r="Q3"/>
      <c r="R3"/>
      <c r="S3"/>
      <c r="W3" s="3"/>
      <c r="X3" s="3"/>
      <c r="Y3" s="3"/>
      <c r="Z3" s="3"/>
    </row>
    <row r="4" spans="1:26" ht="22.5" customHeight="1" x14ac:dyDescent="0.15">
      <c r="A4" s="5"/>
      <c r="B4" s="224"/>
      <c r="C4" s="224"/>
      <c r="D4" s="9"/>
      <c r="E4" s="6"/>
      <c r="F4" s="2"/>
      <c r="G4" s="2"/>
      <c r="H4" s="2"/>
      <c r="I4" s="9"/>
      <c r="J4" s="2"/>
      <c r="K4" s="7"/>
      <c r="L4" s="7"/>
      <c r="M4" s="8"/>
      <c r="N4" s="2"/>
      <c r="O4" s="3"/>
      <c r="P4"/>
      <c r="Q4"/>
      <c r="R4"/>
      <c r="S4"/>
      <c r="W4" s="3"/>
      <c r="X4" s="3"/>
      <c r="Y4" s="3"/>
      <c r="Z4" s="3"/>
    </row>
    <row r="5" spans="1:26" ht="27.75" customHeight="1" thickBot="1" x14ac:dyDescent="0.3">
      <c r="A5" s="219" t="s">
        <v>13</v>
      </c>
      <c r="B5" s="220"/>
      <c r="C5" s="220"/>
      <c r="D5" s="220"/>
      <c r="E5" s="220"/>
      <c r="F5" s="220"/>
      <c r="G5" s="2"/>
      <c r="H5" s="2"/>
      <c r="I5" s="12"/>
      <c r="J5" s="2"/>
      <c r="K5" s="7"/>
      <c r="L5" s="7"/>
      <c r="M5" s="10"/>
      <c r="N5" s="2"/>
      <c r="O5" s="13"/>
      <c r="P5" s="12"/>
      <c r="Q5" s="14"/>
      <c r="R5" s="14"/>
      <c r="S5" s="11"/>
    </row>
    <row r="6" spans="1:26" customFormat="1" ht="42" customHeight="1" thickBot="1" x14ac:dyDescent="0.2">
      <c r="A6" s="15"/>
      <c r="B6" s="16" t="s">
        <v>1</v>
      </c>
      <c r="C6" s="17" t="s">
        <v>2</v>
      </c>
      <c r="D6" s="18" t="s">
        <v>306</v>
      </c>
      <c r="E6" s="34" t="s">
        <v>6</v>
      </c>
      <c r="F6" s="19" t="s">
        <v>4</v>
      </c>
      <c r="G6" s="17" t="s">
        <v>5</v>
      </c>
      <c r="H6" s="16" t="s">
        <v>2</v>
      </c>
      <c r="I6" s="18" t="s">
        <v>306</v>
      </c>
      <c r="J6" s="35" t="s">
        <v>3</v>
      </c>
      <c r="K6" s="19" t="s">
        <v>4</v>
      </c>
      <c r="L6" s="19" t="s">
        <v>5</v>
      </c>
      <c r="M6" s="21" t="s">
        <v>7</v>
      </c>
      <c r="N6" s="22" t="s">
        <v>8</v>
      </c>
      <c r="O6" s="19" t="s">
        <v>9</v>
      </c>
      <c r="P6" s="23" t="s">
        <v>306</v>
      </c>
      <c r="Q6" s="20" t="s">
        <v>11</v>
      </c>
      <c r="R6" s="24" t="s">
        <v>10</v>
      </c>
      <c r="S6" s="25"/>
    </row>
    <row r="7" spans="1:26" ht="21.95" customHeight="1" x14ac:dyDescent="0.15">
      <c r="A7" s="221" t="s">
        <v>61</v>
      </c>
      <c r="B7" s="64" t="s">
        <v>14</v>
      </c>
      <c r="C7" s="36" t="s">
        <v>21</v>
      </c>
      <c r="D7" s="37"/>
      <c r="E7" s="38">
        <v>5</v>
      </c>
      <c r="F7" s="39" t="s">
        <v>23</v>
      </c>
      <c r="G7" s="68" t="s">
        <v>22</v>
      </c>
      <c r="H7" s="72" t="s">
        <v>21</v>
      </c>
      <c r="I7" s="37"/>
      <c r="J7" s="39">
        <f>ROUNDUP(E7*0.75,2)</f>
        <v>3.75</v>
      </c>
      <c r="K7" s="39" t="s">
        <v>23</v>
      </c>
      <c r="L7" s="39" t="s">
        <v>22</v>
      </c>
      <c r="M7" s="76" t="e">
        <f>#REF!</f>
        <v>#REF!</v>
      </c>
      <c r="N7" s="64" t="s">
        <v>15</v>
      </c>
      <c r="O7" s="40" t="s">
        <v>20</v>
      </c>
      <c r="P7" s="37"/>
      <c r="Q7" s="41">
        <v>110</v>
      </c>
      <c r="R7" s="83">
        <f t="shared" ref="R7:R12" si="0">ROUNDUP(Q7*0.75,2)</f>
        <v>82.5</v>
      </c>
    </row>
    <row r="8" spans="1:26" ht="21.95" customHeight="1" x14ac:dyDescent="0.15">
      <c r="A8" s="222"/>
      <c r="B8" s="65"/>
      <c r="C8" s="42" t="s">
        <v>24</v>
      </c>
      <c r="D8" s="43"/>
      <c r="E8" s="44">
        <v>5</v>
      </c>
      <c r="F8" s="45" t="s">
        <v>23</v>
      </c>
      <c r="G8" s="69"/>
      <c r="H8" s="73" t="s">
        <v>24</v>
      </c>
      <c r="I8" s="43"/>
      <c r="J8" s="45">
        <f>ROUNDUP(E8*0.75,2)</f>
        <v>3.75</v>
      </c>
      <c r="K8" s="45" t="s">
        <v>23</v>
      </c>
      <c r="L8" s="45"/>
      <c r="M8" s="77" t="e">
        <f>ROUND(#REF!+(#REF!*10/100),2)</f>
        <v>#REF!</v>
      </c>
      <c r="N8" s="65" t="s">
        <v>299</v>
      </c>
      <c r="O8" s="46" t="s">
        <v>25</v>
      </c>
      <c r="P8" s="43"/>
      <c r="Q8" s="47">
        <v>15</v>
      </c>
      <c r="R8" s="85">
        <f t="shared" si="0"/>
        <v>11.25</v>
      </c>
    </row>
    <row r="9" spans="1:26" ht="21.95" customHeight="1" x14ac:dyDescent="0.15">
      <c r="A9" s="222"/>
      <c r="B9" s="65"/>
      <c r="C9" s="42" t="s">
        <v>30</v>
      </c>
      <c r="D9" s="43"/>
      <c r="E9" s="44">
        <v>3</v>
      </c>
      <c r="F9" s="45" t="s">
        <v>23</v>
      </c>
      <c r="G9" s="69" t="s">
        <v>31</v>
      </c>
      <c r="H9" s="73" t="s">
        <v>30</v>
      </c>
      <c r="I9" s="43"/>
      <c r="J9" s="45">
        <f>ROUNDUP(E9*0.75,2)</f>
        <v>2.25</v>
      </c>
      <c r="K9" s="45" t="s">
        <v>23</v>
      </c>
      <c r="L9" s="45" t="s">
        <v>31</v>
      </c>
      <c r="M9" s="77" t="e">
        <f>#REF!</f>
        <v>#REF!</v>
      </c>
      <c r="N9" s="65" t="s">
        <v>300</v>
      </c>
      <c r="O9" s="46" t="s">
        <v>26</v>
      </c>
      <c r="P9" s="43"/>
      <c r="Q9" s="47">
        <v>0.5</v>
      </c>
      <c r="R9" s="85">
        <f t="shared" si="0"/>
        <v>0.38</v>
      </c>
    </row>
    <row r="10" spans="1:26" ht="21.95" customHeight="1" x14ac:dyDescent="0.15">
      <c r="A10" s="222"/>
      <c r="B10" s="65"/>
      <c r="C10" s="42" t="s">
        <v>32</v>
      </c>
      <c r="D10" s="43" t="s">
        <v>29</v>
      </c>
      <c r="E10" s="48">
        <v>0.1</v>
      </c>
      <c r="F10" s="45" t="s">
        <v>33</v>
      </c>
      <c r="G10" s="69" t="s">
        <v>22</v>
      </c>
      <c r="H10" s="73" t="s">
        <v>32</v>
      </c>
      <c r="I10" s="43" t="s">
        <v>29</v>
      </c>
      <c r="J10" s="45">
        <f>ROUNDUP(E10*0.75,2)</f>
        <v>0.08</v>
      </c>
      <c r="K10" s="45" t="s">
        <v>33</v>
      </c>
      <c r="L10" s="45" t="s">
        <v>22</v>
      </c>
      <c r="M10" s="77" t="e">
        <f>#REF!</f>
        <v>#REF!</v>
      </c>
      <c r="N10" s="65" t="s">
        <v>298</v>
      </c>
      <c r="O10" s="46" t="s">
        <v>27</v>
      </c>
      <c r="P10" s="43"/>
      <c r="Q10" s="47">
        <v>1</v>
      </c>
      <c r="R10" s="85">
        <f t="shared" si="0"/>
        <v>0.75</v>
      </c>
    </row>
    <row r="11" spans="1:26" ht="21.95" customHeight="1" x14ac:dyDescent="0.15">
      <c r="A11" s="222"/>
      <c r="B11" s="65"/>
      <c r="C11" s="42" t="s">
        <v>34</v>
      </c>
      <c r="D11" s="43" t="s">
        <v>36</v>
      </c>
      <c r="E11" s="44">
        <v>0.5</v>
      </c>
      <c r="F11" s="45" t="s">
        <v>23</v>
      </c>
      <c r="G11" s="69" t="s">
        <v>35</v>
      </c>
      <c r="H11" s="73" t="s">
        <v>34</v>
      </c>
      <c r="I11" s="43" t="s">
        <v>36</v>
      </c>
      <c r="J11" s="45">
        <f>ROUNDUP(E11*0.75,2)</f>
        <v>0.38</v>
      </c>
      <c r="K11" s="45" t="s">
        <v>23</v>
      </c>
      <c r="L11" s="45" t="s">
        <v>35</v>
      </c>
      <c r="M11" s="77" t="e">
        <f>#REF!</f>
        <v>#REF!</v>
      </c>
      <c r="N11" s="65" t="s">
        <v>263</v>
      </c>
      <c r="O11" s="46" t="s">
        <v>28</v>
      </c>
      <c r="P11" s="43" t="s">
        <v>29</v>
      </c>
      <c r="Q11" s="47">
        <v>1</v>
      </c>
      <c r="R11" s="85">
        <f t="shared" si="0"/>
        <v>0.75</v>
      </c>
    </row>
    <row r="12" spans="1:26" ht="21.95" customHeight="1" x14ac:dyDescent="0.15">
      <c r="A12" s="222"/>
      <c r="B12" s="65"/>
      <c r="C12" s="42"/>
      <c r="D12" s="43"/>
      <c r="E12" s="44"/>
      <c r="F12" s="45"/>
      <c r="G12" s="69"/>
      <c r="H12" s="73"/>
      <c r="I12" s="43"/>
      <c r="J12" s="45"/>
      <c r="K12" s="45"/>
      <c r="L12" s="45"/>
      <c r="M12" s="77"/>
      <c r="N12" s="65" t="s">
        <v>16</v>
      </c>
      <c r="O12" s="46" t="s">
        <v>28</v>
      </c>
      <c r="P12" s="43" t="s">
        <v>29</v>
      </c>
      <c r="Q12" s="47">
        <v>0.6</v>
      </c>
      <c r="R12" s="85">
        <f t="shared" si="0"/>
        <v>0.45</v>
      </c>
    </row>
    <row r="13" spans="1:26" ht="21.95" customHeight="1" x14ac:dyDescent="0.15">
      <c r="A13" s="222"/>
      <c r="B13" s="65"/>
      <c r="C13" s="42"/>
      <c r="D13" s="43"/>
      <c r="E13" s="44"/>
      <c r="F13" s="45"/>
      <c r="G13" s="69"/>
      <c r="H13" s="73"/>
      <c r="I13" s="43"/>
      <c r="J13" s="45"/>
      <c r="K13" s="45"/>
      <c r="L13" s="45"/>
      <c r="M13" s="77"/>
      <c r="N13" s="65" t="s">
        <v>17</v>
      </c>
      <c r="O13" s="46"/>
      <c r="P13" s="43"/>
      <c r="Q13" s="47"/>
      <c r="R13" s="85"/>
    </row>
    <row r="14" spans="1:26" ht="21.95" customHeight="1" x14ac:dyDescent="0.15">
      <c r="A14" s="222"/>
      <c r="B14" s="65"/>
      <c r="C14" s="42"/>
      <c r="D14" s="43"/>
      <c r="E14" s="44"/>
      <c r="F14" s="45"/>
      <c r="G14" s="69"/>
      <c r="H14" s="73"/>
      <c r="I14" s="43"/>
      <c r="J14" s="45"/>
      <c r="K14" s="45"/>
      <c r="L14" s="45"/>
      <c r="M14" s="77"/>
      <c r="N14" s="65" t="s">
        <v>18</v>
      </c>
      <c r="O14" s="46"/>
      <c r="P14" s="43"/>
      <c r="Q14" s="47"/>
      <c r="R14" s="85"/>
    </row>
    <row r="15" spans="1:26" ht="21.95" customHeight="1" x14ac:dyDescent="0.15">
      <c r="A15" s="222"/>
      <c r="B15" s="66"/>
      <c r="C15" s="49"/>
      <c r="D15" s="50"/>
      <c r="E15" s="51"/>
      <c r="F15" s="52"/>
      <c r="G15" s="70"/>
      <c r="H15" s="74"/>
      <c r="I15" s="50"/>
      <c r="J15" s="52"/>
      <c r="K15" s="52"/>
      <c r="L15" s="52"/>
      <c r="M15" s="78"/>
      <c r="N15" s="66" t="s">
        <v>19</v>
      </c>
      <c r="O15" s="53"/>
      <c r="P15" s="50"/>
      <c r="Q15" s="54"/>
      <c r="R15" s="84"/>
    </row>
    <row r="16" spans="1:26" ht="21.95" customHeight="1" x14ac:dyDescent="0.15">
      <c r="A16" s="222"/>
      <c r="B16" s="65" t="s">
        <v>37</v>
      </c>
      <c r="C16" s="42" t="s">
        <v>41</v>
      </c>
      <c r="D16" s="43"/>
      <c r="E16" s="44">
        <v>30</v>
      </c>
      <c r="F16" s="45" t="s">
        <v>23</v>
      </c>
      <c r="G16" s="69" t="s">
        <v>35</v>
      </c>
      <c r="H16" s="73" t="s">
        <v>41</v>
      </c>
      <c r="I16" s="43"/>
      <c r="J16" s="45">
        <f t="shared" ref="J16:J21" si="1">ROUNDUP(E16*0.75,2)</f>
        <v>22.5</v>
      </c>
      <c r="K16" s="45" t="s">
        <v>23</v>
      </c>
      <c r="L16" s="45" t="s">
        <v>35</v>
      </c>
      <c r="M16" s="77" t="e">
        <f>#REF!</f>
        <v>#REF!</v>
      </c>
      <c r="N16" s="65" t="s">
        <v>38</v>
      </c>
      <c r="O16" s="46" t="s">
        <v>47</v>
      </c>
      <c r="P16" s="43"/>
      <c r="Q16" s="47">
        <v>1</v>
      </c>
      <c r="R16" s="85">
        <f>ROUNDUP(Q16*0.75,2)</f>
        <v>0.75</v>
      </c>
    </row>
    <row r="17" spans="1:18" ht="21.95" customHeight="1" x14ac:dyDescent="0.15">
      <c r="A17" s="222"/>
      <c r="B17" s="65"/>
      <c r="C17" s="42" t="s">
        <v>42</v>
      </c>
      <c r="D17" s="43"/>
      <c r="E17" s="48">
        <v>0.1</v>
      </c>
      <c r="F17" s="45" t="s">
        <v>43</v>
      </c>
      <c r="G17" s="69" t="s">
        <v>22</v>
      </c>
      <c r="H17" s="73" t="s">
        <v>42</v>
      </c>
      <c r="I17" s="43"/>
      <c r="J17" s="45">
        <f t="shared" si="1"/>
        <v>0.08</v>
      </c>
      <c r="K17" s="45" t="s">
        <v>43</v>
      </c>
      <c r="L17" s="45" t="s">
        <v>22</v>
      </c>
      <c r="M17" s="77" t="e">
        <f>#REF!</f>
        <v>#REF!</v>
      </c>
      <c r="N17" s="65" t="s">
        <v>264</v>
      </c>
      <c r="O17" s="46" t="s">
        <v>48</v>
      </c>
      <c r="P17" s="43"/>
      <c r="Q17" s="47">
        <v>2.5</v>
      </c>
      <c r="R17" s="85">
        <f>ROUNDUP(Q17*0.75,2)</f>
        <v>1.8800000000000001</v>
      </c>
    </row>
    <row r="18" spans="1:18" ht="21.95" customHeight="1" x14ac:dyDescent="0.15">
      <c r="A18" s="222"/>
      <c r="B18" s="65"/>
      <c r="C18" s="42" t="s">
        <v>44</v>
      </c>
      <c r="D18" s="43"/>
      <c r="E18" s="44">
        <v>10</v>
      </c>
      <c r="F18" s="45" t="s">
        <v>23</v>
      </c>
      <c r="G18" s="69"/>
      <c r="H18" s="73" t="s">
        <v>44</v>
      </c>
      <c r="I18" s="43"/>
      <c r="J18" s="45">
        <f t="shared" si="1"/>
        <v>7.5</v>
      </c>
      <c r="K18" s="45" t="s">
        <v>23</v>
      </c>
      <c r="L18" s="45"/>
      <c r="M18" s="77" t="e">
        <f>ROUND(#REF!+(#REF!*6/100),2)</f>
        <v>#REF!</v>
      </c>
      <c r="N18" s="65" t="s">
        <v>265</v>
      </c>
      <c r="O18" s="46" t="s">
        <v>49</v>
      </c>
      <c r="P18" s="43"/>
      <c r="Q18" s="47">
        <v>1.5</v>
      </c>
      <c r="R18" s="85">
        <f>ROUNDUP(Q18*0.75,2)</f>
        <v>1.1300000000000001</v>
      </c>
    </row>
    <row r="19" spans="1:18" ht="21.95" customHeight="1" x14ac:dyDescent="0.15">
      <c r="A19" s="222"/>
      <c r="B19" s="65"/>
      <c r="C19" s="42" t="s">
        <v>45</v>
      </c>
      <c r="D19" s="43" t="s">
        <v>29</v>
      </c>
      <c r="E19" s="44">
        <v>5</v>
      </c>
      <c r="F19" s="45" t="s">
        <v>23</v>
      </c>
      <c r="G19" s="69" t="s">
        <v>46</v>
      </c>
      <c r="H19" s="73" t="s">
        <v>45</v>
      </c>
      <c r="I19" s="43" t="s">
        <v>29</v>
      </c>
      <c r="J19" s="45">
        <f t="shared" si="1"/>
        <v>3.75</v>
      </c>
      <c r="K19" s="45" t="s">
        <v>23</v>
      </c>
      <c r="L19" s="45" t="s">
        <v>46</v>
      </c>
      <c r="M19" s="77" t="e">
        <f>#REF!</f>
        <v>#REF!</v>
      </c>
      <c r="N19" s="65" t="s">
        <v>39</v>
      </c>
      <c r="O19" s="46" t="s">
        <v>47</v>
      </c>
      <c r="P19" s="43"/>
      <c r="Q19" s="47">
        <v>1.5</v>
      </c>
      <c r="R19" s="85">
        <f>ROUNDUP(Q19*0.75,2)</f>
        <v>1.1300000000000001</v>
      </c>
    </row>
    <row r="20" spans="1:18" ht="21.95" customHeight="1" x14ac:dyDescent="0.15">
      <c r="A20" s="222"/>
      <c r="B20" s="65"/>
      <c r="C20" s="42" t="s">
        <v>50</v>
      </c>
      <c r="D20" s="43"/>
      <c r="E20" s="44">
        <v>20</v>
      </c>
      <c r="F20" s="45" t="s">
        <v>23</v>
      </c>
      <c r="G20" s="69"/>
      <c r="H20" s="73" t="s">
        <v>50</v>
      </c>
      <c r="I20" s="43"/>
      <c r="J20" s="45">
        <f t="shared" si="1"/>
        <v>15</v>
      </c>
      <c r="K20" s="45" t="s">
        <v>23</v>
      </c>
      <c r="L20" s="45"/>
      <c r="M20" s="77" t="e">
        <f>ROUND(#REF!+(#REF!*15/100),2)</f>
        <v>#REF!</v>
      </c>
      <c r="N20" s="65" t="s">
        <v>40</v>
      </c>
      <c r="O20" s="46"/>
      <c r="P20" s="43"/>
      <c r="Q20" s="47"/>
      <c r="R20" s="85"/>
    </row>
    <row r="21" spans="1:18" ht="21.95" customHeight="1" x14ac:dyDescent="0.15">
      <c r="A21" s="222"/>
      <c r="B21" s="65"/>
      <c r="C21" s="42" t="s">
        <v>51</v>
      </c>
      <c r="D21" s="43"/>
      <c r="E21" s="44">
        <v>10</v>
      </c>
      <c r="F21" s="45" t="s">
        <v>23</v>
      </c>
      <c r="G21" s="69"/>
      <c r="H21" s="73" t="s">
        <v>51</v>
      </c>
      <c r="I21" s="43"/>
      <c r="J21" s="45">
        <f t="shared" si="1"/>
        <v>7.5</v>
      </c>
      <c r="K21" s="45" t="s">
        <v>23</v>
      </c>
      <c r="L21" s="45"/>
      <c r="M21" s="77" t="e">
        <f>ROUND(#REF!+(#REF!*3/100),2)</f>
        <v>#REF!</v>
      </c>
      <c r="N21" s="65"/>
      <c r="O21" s="46"/>
      <c r="P21" s="43"/>
      <c r="Q21" s="47"/>
      <c r="R21" s="85"/>
    </row>
    <row r="22" spans="1:18" ht="21.95" customHeight="1" x14ac:dyDescent="0.15">
      <c r="A22" s="222"/>
      <c r="B22" s="66"/>
      <c r="C22" s="49"/>
      <c r="D22" s="50"/>
      <c r="E22" s="51"/>
      <c r="F22" s="52"/>
      <c r="G22" s="70"/>
      <c r="H22" s="74"/>
      <c r="I22" s="50"/>
      <c r="J22" s="52"/>
      <c r="K22" s="52"/>
      <c r="L22" s="52"/>
      <c r="M22" s="78"/>
      <c r="N22" s="66"/>
      <c r="O22" s="53"/>
      <c r="P22" s="50"/>
      <c r="Q22" s="54"/>
      <c r="R22" s="84"/>
    </row>
    <row r="23" spans="1:18" ht="21.95" customHeight="1" x14ac:dyDescent="0.15">
      <c r="A23" s="222"/>
      <c r="B23" s="65" t="s">
        <v>52</v>
      </c>
      <c r="C23" s="42" t="s">
        <v>53</v>
      </c>
      <c r="D23" s="43"/>
      <c r="E23" s="44">
        <v>20</v>
      </c>
      <c r="F23" s="45" t="s">
        <v>23</v>
      </c>
      <c r="G23" s="69"/>
      <c r="H23" s="73" t="s">
        <v>53</v>
      </c>
      <c r="I23" s="43"/>
      <c r="J23" s="45">
        <f>ROUNDUP(E23*0.75,2)</f>
        <v>15</v>
      </c>
      <c r="K23" s="45" t="s">
        <v>23</v>
      </c>
      <c r="L23" s="45"/>
      <c r="M23" s="77" t="e">
        <f>ROUND(#REF!+(#REF!*10/100),2)</f>
        <v>#REF!</v>
      </c>
      <c r="N23" s="65" t="s">
        <v>40</v>
      </c>
      <c r="O23" s="46" t="s">
        <v>25</v>
      </c>
      <c r="P23" s="43"/>
      <c r="Q23" s="47">
        <v>100</v>
      </c>
      <c r="R23" s="85">
        <f>ROUNDUP(Q23*0.75,2)</f>
        <v>75</v>
      </c>
    </row>
    <row r="24" spans="1:18" ht="21.95" customHeight="1" x14ac:dyDescent="0.15">
      <c r="A24" s="222"/>
      <c r="B24" s="65"/>
      <c r="C24" s="42" t="s">
        <v>54</v>
      </c>
      <c r="D24" s="43" t="s">
        <v>55</v>
      </c>
      <c r="E24" s="55">
        <v>0.125</v>
      </c>
      <c r="F24" s="45" t="s">
        <v>56</v>
      </c>
      <c r="G24" s="69"/>
      <c r="H24" s="73" t="s">
        <v>54</v>
      </c>
      <c r="I24" s="43" t="s">
        <v>55</v>
      </c>
      <c r="J24" s="45">
        <f>ROUNDUP(E24*0.75,2)</f>
        <v>9.9999999999999992E-2</v>
      </c>
      <c r="K24" s="45" t="s">
        <v>56</v>
      </c>
      <c r="L24" s="45"/>
      <c r="M24" s="77" t="e">
        <f>#REF!</f>
        <v>#REF!</v>
      </c>
      <c r="N24" s="65"/>
      <c r="O24" s="46" t="s">
        <v>57</v>
      </c>
      <c r="P24" s="43"/>
      <c r="Q24" s="47">
        <v>0.1</v>
      </c>
      <c r="R24" s="85">
        <f>ROUNDUP(Q24*0.75,2)</f>
        <v>0.08</v>
      </c>
    </row>
    <row r="25" spans="1:18" ht="21.95" customHeight="1" x14ac:dyDescent="0.15">
      <c r="A25" s="222"/>
      <c r="B25" s="65"/>
      <c r="C25" s="42"/>
      <c r="D25" s="43"/>
      <c r="E25" s="44"/>
      <c r="F25" s="45"/>
      <c r="G25" s="69"/>
      <c r="H25" s="73"/>
      <c r="I25" s="43"/>
      <c r="J25" s="45"/>
      <c r="K25" s="45"/>
      <c r="L25" s="45"/>
      <c r="M25" s="77"/>
      <c r="N25" s="65"/>
      <c r="O25" s="46" t="s">
        <v>28</v>
      </c>
      <c r="P25" s="43" t="s">
        <v>29</v>
      </c>
      <c r="Q25" s="47">
        <v>0.5</v>
      </c>
      <c r="R25" s="85">
        <f>ROUNDUP(Q25*0.75,2)</f>
        <v>0.38</v>
      </c>
    </row>
    <row r="26" spans="1:18" ht="21.95" customHeight="1" x14ac:dyDescent="0.15">
      <c r="A26" s="222"/>
      <c r="B26" s="66"/>
      <c r="C26" s="49"/>
      <c r="D26" s="50"/>
      <c r="E26" s="51"/>
      <c r="F26" s="52"/>
      <c r="G26" s="70"/>
      <c r="H26" s="74"/>
      <c r="I26" s="50"/>
      <c r="J26" s="52"/>
      <c r="K26" s="52"/>
      <c r="L26" s="52"/>
      <c r="M26" s="78"/>
      <c r="N26" s="66"/>
      <c r="O26" s="53"/>
      <c r="P26" s="50"/>
      <c r="Q26" s="54"/>
      <c r="R26" s="84"/>
    </row>
    <row r="27" spans="1:18" ht="21.95" customHeight="1" x14ac:dyDescent="0.15">
      <c r="A27" s="222"/>
      <c r="B27" s="65" t="s">
        <v>58</v>
      </c>
      <c r="C27" s="42" t="s">
        <v>60</v>
      </c>
      <c r="D27" s="43"/>
      <c r="E27" s="56">
        <v>0.16666666666666666</v>
      </c>
      <c r="F27" s="45" t="s">
        <v>56</v>
      </c>
      <c r="G27" s="69"/>
      <c r="H27" s="73" t="s">
        <v>60</v>
      </c>
      <c r="I27" s="43"/>
      <c r="J27" s="45">
        <f>ROUNDUP(E27*0.75,2)</f>
        <v>0.13</v>
      </c>
      <c r="K27" s="45" t="s">
        <v>56</v>
      </c>
      <c r="L27" s="45"/>
      <c r="M27" s="77" t="e">
        <f>#REF!</f>
        <v>#REF!</v>
      </c>
      <c r="N27" s="65" t="s">
        <v>59</v>
      </c>
      <c r="O27" s="46"/>
      <c r="P27" s="43"/>
      <c r="Q27" s="47"/>
      <c r="R27" s="85"/>
    </row>
    <row r="28" spans="1:18" ht="21.95" customHeight="1" thickBot="1" x14ac:dyDescent="0.2">
      <c r="A28" s="223"/>
      <c r="B28" s="67"/>
      <c r="C28" s="57"/>
      <c r="D28" s="58"/>
      <c r="E28" s="59"/>
      <c r="F28" s="60"/>
      <c r="G28" s="71"/>
      <c r="H28" s="75"/>
      <c r="I28" s="58"/>
      <c r="J28" s="60"/>
      <c r="K28" s="60"/>
      <c r="L28" s="60"/>
      <c r="M28" s="79"/>
      <c r="N28" s="67"/>
      <c r="O28" s="61"/>
      <c r="P28" s="58"/>
      <c r="Q28" s="62"/>
      <c r="R28" s="86"/>
    </row>
    <row r="33" spans="16:18" ht="18.75" customHeight="1" x14ac:dyDescent="0.15">
      <c r="P33" s="216" t="s">
        <v>296</v>
      </c>
      <c r="Q33" s="216"/>
      <c r="R33" s="216"/>
    </row>
  </sheetData>
  <mergeCells count="6">
    <mergeCell ref="P33:R33"/>
    <mergeCell ref="H1:N1"/>
    <mergeCell ref="A2:R2"/>
    <mergeCell ref="A5:F5"/>
    <mergeCell ref="A7:A28"/>
    <mergeCell ref="B3:C4"/>
  </mergeCells>
  <phoneticPr fontId="16"/>
  <printOptions horizontalCentered="1" verticalCentered="1"/>
  <pageMargins left="0.39370078740157483" right="0.39370078740157483" top="0.39370078740157483" bottom="0.39370078740157483" header="0.39370078740157483" footer="0.39370078740157483"/>
  <pageSetup paperSize="12" scale="5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5.75" style="27" bestFit="1" customWidth="1"/>
    <col min="4" max="4" width="17.125" style="26" customWidth="1"/>
    <col min="5" max="5" width="8.125" style="29" customWidth="1"/>
    <col min="6" max="6" width="4" style="30" customWidth="1"/>
    <col min="7" max="7" width="10.25" style="30" hidden="1" customWidth="1"/>
    <col min="8" max="8" width="23.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78.2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257</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224</v>
      </c>
      <c r="C5" s="36" t="s">
        <v>104</v>
      </c>
      <c r="D5" s="37"/>
      <c r="E5" s="38">
        <v>10</v>
      </c>
      <c r="F5" s="39" t="s">
        <v>23</v>
      </c>
      <c r="G5" s="68" t="s">
        <v>35</v>
      </c>
      <c r="H5" s="72" t="s">
        <v>104</v>
      </c>
      <c r="I5" s="37"/>
      <c r="J5" s="39">
        <f>ROUNDUP(E5*0.75,2)</f>
        <v>7.5</v>
      </c>
      <c r="K5" s="39" t="s">
        <v>23</v>
      </c>
      <c r="L5" s="39" t="s">
        <v>35</v>
      </c>
      <c r="M5" s="76" t="e">
        <f>#REF!</f>
        <v>#REF!</v>
      </c>
      <c r="N5" s="64" t="s">
        <v>225</v>
      </c>
      <c r="O5" s="40" t="s">
        <v>20</v>
      </c>
      <c r="P5" s="37"/>
      <c r="Q5" s="41">
        <v>110</v>
      </c>
      <c r="R5" s="83">
        <f t="shared" ref="R5:R12" si="0">ROUNDUP(Q5*0.75,2)</f>
        <v>82.5</v>
      </c>
    </row>
    <row r="6" spans="1:19" ht="24.95" customHeight="1" x14ac:dyDescent="0.15">
      <c r="A6" s="222"/>
      <c r="B6" s="65"/>
      <c r="C6" s="42" t="s">
        <v>44</v>
      </c>
      <c r="D6" s="43"/>
      <c r="E6" s="44">
        <v>20</v>
      </c>
      <c r="F6" s="45" t="s">
        <v>23</v>
      </c>
      <c r="G6" s="69"/>
      <c r="H6" s="73" t="s">
        <v>44</v>
      </c>
      <c r="I6" s="43"/>
      <c r="J6" s="45">
        <f>ROUNDUP(E6*0.75,2)</f>
        <v>15</v>
      </c>
      <c r="K6" s="45" t="s">
        <v>23</v>
      </c>
      <c r="L6" s="45"/>
      <c r="M6" s="77" t="e">
        <f>ROUND(#REF!+(#REF!*6/100),2)</f>
        <v>#REF!</v>
      </c>
      <c r="N6" s="65" t="s">
        <v>226</v>
      </c>
      <c r="O6" s="46" t="s">
        <v>103</v>
      </c>
      <c r="P6" s="43" t="s">
        <v>63</v>
      </c>
      <c r="Q6" s="47">
        <v>1</v>
      </c>
      <c r="R6" s="85">
        <f t="shared" si="0"/>
        <v>0.75</v>
      </c>
    </row>
    <row r="7" spans="1:19" ht="24.95" customHeight="1" x14ac:dyDescent="0.15">
      <c r="A7" s="222"/>
      <c r="B7" s="65"/>
      <c r="C7" s="42" t="s">
        <v>54</v>
      </c>
      <c r="D7" s="43" t="s">
        <v>55</v>
      </c>
      <c r="E7" s="44">
        <v>1</v>
      </c>
      <c r="F7" s="45" t="s">
        <v>56</v>
      </c>
      <c r="G7" s="69"/>
      <c r="H7" s="73" t="s">
        <v>54</v>
      </c>
      <c r="I7" s="43" t="s">
        <v>55</v>
      </c>
      <c r="J7" s="45">
        <f>ROUNDUP(E7*0.75,2)</f>
        <v>0.75</v>
      </c>
      <c r="K7" s="45" t="s">
        <v>56</v>
      </c>
      <c r="L7" s="45"/>
      <c r="M7" s="77" t="e">
        <f>#REF!</f>
        <v>#REF!</v>
      </c>
      <c r="N7" s="65" t="s">
        <v>227</v>
      </c>
      <c r="O7" s="46" t="s">
        <v>57</v>
      </c>
      <c r="P7" s="43"/>
      <c r="Q7" s="47">
        <v>0.1</v>
      </c>
      <c r="R7" s="85">
        <f t="shared" si="0"/>
        <v>0.08</v>
      </c>
    </row>
    <row r="8" spans="1:19" ht="24.95" customHeight="1" x14ac:dyDescent="0.15">
      <c r="A8" s="222"/>
      <c r="B8" s="65"/>
      <c r="C8" s="42" t="s">
        <v>107</v>
      </c>
      <c r="D8" s="43"/>
      <c r="E8" s="44">
        <v>5</v>
      </c>
      <c r="F8" s="45" t="s">
        <v>23</v>
      </c>
      <c r="G8" s="69" t="s">
        <v>31</v>
      </c>
      <c r="H8" s="73" t="s">
        <v>107</v>
      </c>
      <c r="I8" s="43"/>
      <c r="J8" s="45">
        <f>ROUNDUP(E8*0.75,2)</f>
        <v>3.75</v>
      </c>
      <c r="K8" s="45" t="s">
        <v>23</v>
      </c>
      <c r="L8" s="45" t="s">
        <v>31</v>
      </c>
      <c r="M8" s="77" t="e">
        <f>#REF!</f>
        <v>#REF!</v>
      </c>
      <c r="N8" s="65" t="s">
        <v>228</v>
      </c>
      <c r="O8" s="46" t="s">
        <v>105</v>
      </c>
      <c r="P8" s="43"/>
      <c r="Q8" s="47">
        <v>8</v>
      </c>
      <c r="R8" s="85">
        <f t="shared" si="0"/>
        <v>6</v>
      </c>
    </row>
    <row r="9" spans="1:19" ht="24.95" customHeight="1" x14ac:dyDescent="0.15">
      <c r="A9" s="222"/>
      <c r="B9" s="65"/>
      <c r="C9" s="42"/>
      <c r="D9" s="43"/>
      <c r="E9" s="44"/>
      <c r="F9" s="45"/>
      <c r="G9" s="69"/>
      <c r="H9" s="73"/>
      <c r="I9" s="43"/>
      <c r="J9" s="45"/>
      <c r="K9" s="45"/>
      <c r="L9" s="45"/>
      <c r="M9" s="77"/>
      <c r="N9" s="65" t="s">
        <v>229</v>
      </c>
      <c r="O9" s="46" t="s">
        <v>57</v>
      </c>
      <c r="P9" s="43"/>
      <c r="Q9" s="47">
        <v>0.1</v>
      </c>
      <c r="R9" s="85">
        <f t="shared" si="0"/>
        <v>0.08</v>
      </c>
    </row>
    <row r="10" spans="1:19" ht="24.95" customHeight="1" x14ac:dyDescent="0.15">
      <c r="A10" s="222"/>
      <c r="B10" s="65"/>
      <c r="C10" s="42"/>
      <c r="D10" s="43"/>
      <c r="E10" s="44"/>
      <c r="F10" s="45"/>
      <c r="G10" s="69"/>
      <c r="H10" s="73"/>
      <c r="I10" s="43"/>
      <c r="J10" s="45"/>
      <c r="K10" s="45"/>
      <c r="L10" s="45"/>
      <c r="M10" s="77"/>
      <c r="N10" s="65" t="s">
        <v>230</v>
      </c>
      <c r="O10" s="46" t="s">
        <v>79</v>
      </c>
      <c r="P10" s="43"/>
      <c r="Q10" s="47">
        <v>0.01</v>
      </c>
      <c r="R10" s="85">
        <f t="shared" si="0"/>
        <v>0.01</v>
      </c>
    </row>
    <row r="11" spans="1:19" ht="24.95" customHeight="1" x14ac:dyDescent="0.15">
      <c r="A11" s="222"/>
      <c r="B11" s="65"/>
      <c r="C11" s="42"/>
      <c r="D11" s="43"/>
      <c r="E11" s="44"/>
      <c r="F11" s="45"/>
      <c r="G11" s="69"/>
      <c r="H11" s="73"/>
      <c r="I11" s="43"/>
      <c r="J11" s="45"/>
      <c r="K11" s="45"/>
      <c r="L11" s="45"/>
      <c r="M11" s="77"/>
      <c r="N11" s="65" t="s">
        <v>40</v>
      </c>
      <c r="O11" s="46" t="s">
        <v>47</v>
      </c>
      <c r="P11" s="43"/>
      <c r="Q11" s="47">
        <v>1</v>
      </c>
      <c r="R11" s="85">
        <f t="shared" si="0"/>
        <v>0.75</v>
      </c>
    </row>
    <row r="12" spans="1:19" ht="24.95" customHeight="1" x14ac:dyDescent="0.15">
      <c r="A12" s="222"/>
      <c r="B12" s="65"/>
      <c r="C12" s="42"/>
      <c r="D12" s="43"/>
      <c r="E12" s="44"/>
      <c r="F12" s="45"/>
      <c r="G12" s="69"/>
      <c r="H12" s="73"/>
      <c r="I12" s="43"/>
      <c r="J12" s="45"/>
      <c r="K12" s="45"/>
      <c r="L12" s="45"/>
      <c r="M12" s="77"/>
      <c r="N12" s="65"/>
      <c r="O12" s="46" t="s">
        <v>105</v>
      </c>
      <c r="P12" s="43"/>
      <c r="Q12" s="47">
        <v>3</v>
      </c>
      <c r="R12" s="85">
        <f t="shared" si="0"/>
        <v>2.25</v>
      </c>
    </row>
    <row r="13" spans="1:19" ht="24.95" customHeight="1" x14ac:dyDescent="0.15">
      <c r="A13" s="222"/>
      <c r="B13" s="66"/>
      <c r="C13" s="49"/>
      <c r="D13" s="50"/>
      <c r="E13" s="51"/>
      <c r="F13" s="52"/>
      <c r="G13" s="70"/>
      <c r="H13" s="74"/>
      <c r="I13" s="50"/>
      <c r="J13" s="52"/>
      <c r="K13" s="52"/>
      <c r="L13" s="52"/>
      <c r="M13" s="78"/>
      <c r="N13" s="66"/>
      <c r="O13" s="53"/>
      <c r="P13" s="50"/>
      <c r="Q13" s="54"/>
      <c r="R13" s="84"/>
    </row>
    <row r="14" spans="1:19" ht="24.95" customHeight="1" x14ac:dyDescent="0.15">
      <c r="A14" s="222"/>
      <c r="B14" s="65" t="s">
        <v>231</v>
      </c>
      <c r="C14" s="42" t="s">
        <v>235</v>
      </c>
      <c r="D14" s="43" t="s">
        <v>29</v>
      </c>
      <c r="E14" s="44">
        <v>10</v>
      </c>
      <c r="F14" s="45" t="s">
        <v>23</v>
      </c>
      <c r="G14" s="69" t="s">
        <v>236</v>
      </c>
      <c r="H14" s="73" t="s">
        <v>235</v>
      </c>
      <c r="I14" s="43" t="s">
        <v>29</v>
      </c>
      <c r="J14" s="45">
        <f>ROUNDUP(E14*0.75,2)</f>
        <v>7.5</v>
      </c>
      <c r="K14" s="45" t="s">
        <v>23</v>
      </c>
      <c r="L14" s="45" t="s">
        <v>236</v>
      </c>
      <c r="M14" s="77" t="e">
        <f>#REF!</f>
        <v>#REF!</v>
      </c>
      <c r="N14" s="65" t="s">
        <v>232</v>
      </c>
      <c r="O14" s="46" t="s">
        <v>26</v>
      </c>
      <c r="P14" s="43"/>
      <c r="Q14" s="47">
        <v>0.3</v>
      </c>
      <c r="R14" s="85">
        <f>ROUNDUP(Q14*0.75,2)</f>
        <v>0.23</v>
      </c>
    </row>
    <row r="15" spans="1:19" ht="24.95" customHeight="1" x14ac:dyDescent="0.15">
      <c r="A15" s="222"/>
      <c r="B15" s="65"/>
      <c r="C15" s="42" t="s">
        <v>110</v>
      </c>
      <c r="D15" s="43"/>
      <c r="E15" s="44">
        <v>10</v>
      </c>
      <c r="F15" s="45" t="s">
        <v>23</v>
      </c>
      <c r="G15" s="69"/>
      <c r="H15" s="73" t="s">
        <v>110</v>
      </c>
      <c r="I15" s="43"/>
      <c r="J15" s="45">
        <f>ROUNDUP(E15*0.75,2)</f>
        <v>7.5</v>
      </c>
      <c r="K15" s="45" t="s">
        <v>23</v>
      </c>
      <c r="L15" s="45"/>
      <c r="M15" s="77" t="e">
        <f>ROUND(#REF!+(#REF!*2/100),2)</f>
        <v>#REF!</v>
      </c>
      <c r="N15" s="65" t="s">
        <v>233</v>
      </c>
      <c r="O15" s="46" t="s">
        <v>57</v>
      </c>
      <c r="P15" s="43"/>
      <c r="Q15" s="47">
        <v>0.1</v>
      </c>
      <c r="R15" s="85">
        <f>ROUNDUP(Q15*0.75,2)</f>
        <v>0.08</v>
      </c>
    </row>
    <row r="16" spans="1:19" ht="24.95" customHeight="1" x14ac:dyDescent="0.15">
      <c r="A16" s="222"/>
      <c r="B16" s="65"/>
      <c r="C16" s="42" t="s">
        <v>69</v>
      </c>
      <c r="D16" s="43"/>
      <c r="E16" s="44">
        <v>5</v>
      </c>
      <c r="F16" s="45" t="s">
        <v>23</v>
      </c>
      <c r="G16" s="69"/>
      <c r="H16" s="73" t="s">
        <v>69</v>
      </c>
      <c r="I16" s="43"/>
      <c r="J16" s="45">
        <f>ROUNDUP(E16*0.75,2)</f>
        <v>3.75</v>
      </c>
      <c r="K16" s="45" t="s">
        <v>23</v>
      </c>
      <c r="L16" s="45"/>
      <c r="M16" s="77" t="e">
        <f>ROUND(#REF!+(#REF!*3/100),2)</f>
        <v>#REF!</v>
      </c>
      <c r="N16" s="65" t="s">
        <v>234</v>
      </c>
      <c r="O16" s="46" t="s">
        <v>91</v>
      </c>
      <c r="P16" s="43" t="s">
        <v>92</v>
      </c>
      <c r="Q16" s="47">
        <v>4</v>
      </c>
      <c r="R16" s="85">
        <f>ROUNDUP(Q16*0.75,2)</f>
        <v>3</v>
      </c>
    </row>
    <row r="17" spans="1:18" ht="24.95" customHeight="1" x14ac:dyDescent="0.15">
      <c r="A17" s="222"/>
      <c r="B17" s="65"/>
      <c r="C17" s="42"/>
      <c r="D17" s="43"/>
      <c r="E17" s="44"/>
      <c r="F17" s="45"/>
      <c r="G17" s="69"/>
      <c r="H17" s="73"/>
      <c r="I17" s="43"/>
      <c r="J17" s="45"/>
      <c r="K17" s="45"/>
      <c r="L17" s="45"/>
      <c r="M17" s="77"/>
      <c r="N17" s="65" t="s">
        <v>40</v>
      </c>
      <c r="O17" s="46"/>
      <c r="P17" s="43"/>
      <c r="Q17" s="47"/>
      <c r="R17" s="85"/>
    </row>
    <row r="18" spans="1:18" ht="24.95" customHeight="1" x14ac:dyDescent="0.15">
      <c r="A18" s="222"/>
      <c r="B18" s="66"/>
      <c r="C18" s="49"/>
      <c r="D18" s="50"/>
      <c r="E18" s="51"/>
      <c r="F18" s="52"/>
      <c r="G18" s="70"/>
      <c r="H18" s="74"/>
      <c r="I18" s="50"/>
      <c r="J18" s="52"/>
      <c r="K18" s="52"/>
      <c r="L18" s="52"/>
      <c r="M18" s="78"/>
      <c r="N18" s="66"/>
      <c r="O18" s="53"/>
      <c r="P18" s="50"/>
      <c r="Q18" s="54"/>
      <c r="R18" s="84"/>
    </row>
    <row r="19" spans="1:18" ht="24.95" customHeight="1" x14ac:dyDescent="0.15">
      <c r="A19" s="222"/>
      <c r="B19" s="65" t="s">
        <v>112</v>
      </c>
      <c r="C19" s="42" t="s">
        <v>77</v>
      </c>
      <c r="D19" s="43"/>
      <c r="E19" s="44">
        <v>20</v>
      </c>
      <c r="F19" s="45" t="s">
        <v>23</v>
      </c>
      <c r="G19" s="69"/>
      <c r="H19" s="73" t="s">
        <v>77</v>
      </c>
      <c r="I19" s="43"/>
      <c r="J19" s="45">
        <f>ROUNDUP(E19*0.75,2)</f>
        <v>15</v>
      </c>
      <c r="K19" s="45" t="s">
        <v>23</v>
      </c>
      <c r="L19" s="45"/>
      <c r="M19" s="77" t="e">
        <f>ROUND(#REF!+(#REF!*6/100),2)</f>
        <v>#REF!</v>
      </c>
      <c r="N19" s="65" t="s">
        <v>19</v>
      </c>
      <c r="O19" s="46" t="s">
        <v>73</v>
      </c>
      <c r="P19" s="43"/>
      <c r="Q19" s="47">
        <v>100</v>
      </c>
      <c r="R19" s="85">
        <f>ROUNDUP(Q19*0.75,2)</f>
        <v>75</v>
      </c>
    </row>
    <row r="20" spans="1:18" ht="24.95" customHeight="1" x14ac:dyDescent="0.15">
      <c r="A20" s="222"/>
      <c r="B20" s="65"/>
      <c r="C20" s="42" t="s">
        <v>178</v>
      </c>
      <c r="D20" s="43"/>
      <c r="E20" s="44">
        <v>10</v>
      </c>
      <c r="F20" s="45" t="s">
        <v>23</v>
      </c>
      <c r="G20" s="69"/>
      <c r="H20" s="73" t="s">
        <v>178</v>
      </c>
      <c r="I20" s="43"/>
      <c r="J20" s="45">
        <f>ROUNDUP(E20*0.75,2)</f>
        <v>7.5</v>
      </c>
      <c r="K20" s="45" t="s">
        <v>23</v>
      </c>
      <c r="L20" s="45"/>
      <c r="M20" s="77" t="e">
        <f>ROUND(#REF!+(#REF!*10/100),2)</f>
        <v>#REF!</v>
      </c>
      <c r="N20" s="65"/>
      <c r="O20" s="46" t="s">
        <v>114</v>
      </c>
      <c r="P20" s="43" t="s">
        <v>115</v>
      </c>
      <c r="Q20" s="47">
        <v>0.5</v>
      </c>
      <c r="R20" s="85">
        <f>ROUNDUP(Q20*0.75,2)</f>
        <v>0.38</v>
      </c>
    </row>
    <row r="21" spans="1:18" ht="24.95" customHeight="1" x14ac:dyDescent="0.15">
      <c r="A21" s="222"/>
      <c r="B21" s="65"/>
      <c r="C21" s="42"/>
      <c r="D21" s="43"/>
      <c r="E21" s="44"/>
      <c r="F21" s="45"/>
      <c r="G21" s="69"/>
      <c r="H21" s="73"/>
      <c r="I21" s="43"/>
      <c r="J21" s="45"/>
      <c r="K21" s="45"/>
      <c r="L21" s="45"/>
      <c r="M21" s="77"/>
      <c r="N21" s="65"/>
      <c r="O21" s="46" t="s">
        <v>57</v>
      </c>
      <c r="P21" s="43"/>
      <c r="Q21" s="47">
        <v>0.1</v>
      </c>
      <c r="R21" s="85">
        <f>ROUNDUP(Q21*0.75,2)</f>
        <v>0.08</v>
      </c>
    </row>
    <row r="22" spans="1:18" ht="24.95" customHeight="1" x14ac:dyDescent="0.15">
      <c r="A22" s="222"/>
      <c r="B22" s="66"/>
      <c r="C22" s="49"/>
      <c r="D22" s="50"/>
      <c r="E22" s="51"/>
      <c r="F22" s="52"/>
      <c r="G22" s="70"/>
      <c r="H22" s="74"/>
      <c r="I22" s="50"/>
      <c r="J22" s="52"/>
      <c r="K22" s="52"/>
      <c r="L22" s="52"/>
      <c r="M22" s="78"/>
      <c r="N22" s="66"/>
      <c r="O22" s="53"/>
      <c r="P22" s="50"/>
      <c r="Q22" s="54"/>
      <c r="R22" s="84"/>
    </row>
    <row r="23" spans="1:18" ht="24.95" customHeight="1" x14ac:dyDescent="0.15">
      <c r="A23" s="222"/>
      <c r="B23" s="65" t="s">
        <v>131</v>
      </c>
      <c r="C23" s="42" t="s">
        <v>132</v>
      </c>
      <c r="D23" s="43"/>
      <c r="E23" s="56">
        <v>0.16666666666666666</v>
      </c>
      <c r="F23" s="45" t="s">
        <v>56</v>
      </c>
      <c r="G23" s="69"/>
      <c r="H23" s="73" t="s">
        <v>132</v>
      </c>
      <c r="I23" s="43"/>
      <c r="J23" s="45">
        <f>ROUNDUP(E23*0.75,2)</f>
        <v>0.13</v>
      </c>
      <c r="K23" s="45" t="s">
        <v>56</v>
      </c>
      <c r="L23" s="45"/>
      <c r="M23" s="77" t="e">
        <f>#REF!</f>
        <v>#REF!</v>
      </c>
      <c r="N23" s="65" t="s">
        <v>59</v>
      </c>
      <c r="O23" s="46"/>
      <c r="P23" s="43"/>
      <c r="Q23" s="47"/>
      <c r="R23" s="85"/>
    </row>
    <row r="24" spans="1:18" ht="24.95" customHeight="1" thickBot="1" x14ac:dyDescent="0.2">
      <c r="A24" s="223"/>
      <c r="B24" s="67"/>
      <c r="C24" s="57"/>
      <c r="D24" s="58"/>
      <c r="E24" s="59"/>
      <c r="F24" s="60"/>
      <c r="G24" s="71"/>
      <c r="H24" s="75"/>
      <c r="I24" s="58"/>
      <c r="J24" s="60"/>
      <c r="K24" s="60"/>
      <c r="L24" s="60"/>
      <c r="M24" s="79"/>
      <c r="N24" s="67"/>
      <c r="O24" s="61"/>
      <c r="P24" s="58"/>
      <c r="Q24" s="62"/>
      <c r="R24" s="86"/>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89.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258</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20</v>
      </c>
      <c r="C5" s="36"/>
      <c r="D5" s="37"/>
      <c r="E5" s="38"/>
      <c r="F5" s="39"/>
      <c r="G5" s="68"/>
      <c r="H5" s="72"/>
      <c r="I5" s="37"/>
      <c r="J5" s="39"/>
      <c r="K5" s="39"/>
      <c r="L5" s="39"/>
      <c r="M5" s="76"/>
      <c r="N5" s="64"/>
      <c r="O5" s="40" t="s">
        <v>20</v>
      </c>
      <c r="P5" s="37"/>
      <c r="Q5" s="41">
        <v>110</v>
      </c>
      <c r="R5" s="83">
        <f>ROUNDUP(Q5*0.75,2)</f>
        <v>82.5</v>
      </c>
    </row>
    <row r="6" spans="1:19" ht="24.95" customHeight="1" x14ac:dyDescent="0.15">
      <c r="A6" s="222"/>
      <c r="B6" s="66"/>
      <c r="C6" s="49"/>
      <c r="D6" s="50"/>
      <c r="E6" s="51"/>
      <c r="F6" s="52"/>
      <c r="G6" s="70"/>
      <c r="H6" s="74"/>
      <c r="I6" s="50"/>
      <c r="J6" s="52"/>
      <c r="K6" s="52"/>
      <c r="L6" s="52"/>
      <c r="M6" s="78"/>
      <c r="N6" s="66"/>
      <c r="O6" s="53"/>
      <c r="P6" s="50"/>
      <c r="Q6" s="54"/>
      <c r="R6" s="84"/>
    </row>
    <row r="7" spans="1:19" ht="24.95" customHeight="1" x14ac:dyDescent="0.15">
      <c r="A7" s="222"/>
      <c r="B7" s="65" t="s">
        <v>37</v>
      </c>
      <c r="C7" s="42" t="s">
        <v>41</v>
      </c>
      <c r="D7" s="43"/>
      <c r="E7" s="44">
        <v>30</v>
      </c>
      <c r="F7" s="45" t="s">
        <v>23</v>
      </c>
      <c r="G7" s="69" t="s">
        <v>35</v>
      </c>
      <c r="H7" s="73" t="s">
        <v>41</v>
      </c>
      <c r="I7" s="43"/>
      <c r="J7" s="45">
        <f t="shared" ref="J7:J12" si="0">ROUNDUP(E7*0.75,2)</f>
        <v>22.5</v>
      </c>
      <c r="K7" s="45" t="s">
        <v>23</v>
      </c>
      <c r="L7" s="45" t="s">
        <v>35</v>
      </c>
      <c r="M7" s="77" t="e">
        <f>#REF!</f>
        <v>#REF!</v>
      </c>
      <c r="N7" s="65" t="s">
        <v>38</v>
      </c>
      <c r="O7" s="46" t="s">
        <v>47</v>
      </c>
      <c r="P7" s="43"/>
      <c r="Q7" s="47">
        <v>1</v>
      </c>
      <c r="R7" s="85">
        <f t="shared" ref="R7:R12" si="1">ROUNDUP(Q7*0.75,2)</f>
        <v>0.75</v>
      </c>
    </row>
    <row r="8" spans="1:19" ht="24.95" customHeight="1" x14ac:dyDescent="0.15">
      <c r="A8" s="222"/>
      <c r="B8" s="65"/>
      <c r="C8" s="42" t="s">
        <v>247</v>
      </c>
      <c r="D8" s="43"/>
      <c r="E8" s="48">
        <v>0.1</v>
      </c>
      <c r="F8" s="45" t="s">
        <v>43</v>
      </c>
      <c r="G8" s="69" t="s">
        <v>22</v>
      </c>
      <c r="H8" s="73" t="s">
        <v>247</v>
      </c>
      <c r="I8" s="43"/>
      <c r="J8" s="45">
        <f t="shared" si="0"/>
        <v>0.08</v>
      </c>
      <c r="K8" s="45" t="s">
        <v>43</v>
      </c>
      <c r="L8" s="45" t="s">
        <v>22</v>
      </c>
      <c r="M8" s="77" t="e">
        <f>#REF!</f>
        <v>#REF!</v>
      </c>
      <c r="N8" s="65" t="s">
        <v>293</v>
      </c>
      <c r="O8" s="46" t="s">
        <v>48</v>
      </c>
      <c r="P8" s="43"/>
      <c r="Q8" s="47">
        <v>2.5</v>
      </c>
      <c r="R8" s="85">
        <f t="shared" si="1"/>
        <v>1.8800000000000001</v>
      </c>
    </row>
    <row r="9" spans="1:19" ht="24.95" customHeight="1" x14ac:dyDescent="0.15">
      <c r="A9" s="222"/>
      <c r="B9" s="65"/>
      <c r="C9" s="42" t="s">
        <v>44</v>
      </c>
      <c r="D9" s="43"/>
      <c r="E9" s="44">
        <v>10</v>
      </c>
      <c r="F9" s="45" t="s">
        <v>23</v>
      </c>
      <c r="G9" s="69"/>
      <c r="H9" s="73" t="s">
        <v>44</v>
      </c>
      <c r="I9" s="43"/>
      <c r="J9" s="45">
        <f t="shared" si="0"/>
        <v>7.5</v>
      </c>
      <c r="K9" s="45" t="s">
        <v>23</v>
      </c>
      <c r="L9" s="45"/>
      <c r="M9" s="77" t="e">
        <f>ROUND(#REF!+(#REF!*6/100),2)</f>
        <v>#REF!</v>
      </c>
      <c r="N9" s="65" t="s">
        <v>294</v>
      </c>
      <c r="O9" s="46" t="s">
        <v>49</v>
      </c>
      <c r="P9" s="43"/>
      <c r="Q9" s="47">
        <v>1.5</v>
      </c>
      <c r="R9" s="85">
        <f t="shared" si="1"/>
        <v>1.1300000000000001</v>
      </c>
    </row>
    <row r="10" spans="1:19" ht="24.95" customHeight="1" x14ac:dyDescent="0.15">
      <c r="A10" s="222"/>
      <c r="B10" s="65"/>
      <c r="C10" s="42" t="s">
        <v>45</v>
      </c>
      <c r="D10" s="43" t="s">
        <v>29</v>
      </c>
      <c r="E10" s="44">
        <v>5</v>
      </c>
      <c r="F10" s="45" t="s">
        <v>23</v>
      </c>
      <c r="G10" s="69" t="s">
        <v>46</v>
      </c>
      <c r="H10" s="73" t="s">
        <v>45</v>
      </c>
      <c r="I10" s="43" t="s">
        <v>29</v>
      </c>
      <c r="J10" s="45">
        <f t="shared" si="0"/>
        <v>3.75</v>
      </c>
      <c r="K10" s="45" t="s">
        <v>23</v>
      </c>
      <c r="L10" s="45" t="s">
        <v>46</v>
      </c>
      <c r="M10" s="77" t="e">
        <f>#REF!</f>
        <v>#REF!</v>
      </c>
      <c r="N10" s="65" t="s">
        <v>259</v>
      </c>
      <c r="O10" s="46" t="s">
        <v>47</v>
      </c>
      <c r="P10" s="43"/>
      <c r="Q10" s="47">
        <v>1.5</v>
      </c>
      <c r="R10" s="85">
        <f t="shared" si="1"/>
        <v>1.1300000000000001</v>
      </c>
    </row>
    <row r="11" spans="1:19" ht="24.95" customHeight="1" x14ac:dyDescent="0.15">
      <c r="A11" s="222"/>
      <c r="B11" s="65"/>
      <c r="C11" s="42" t="s">
        <v>188</v>
      </c>
      <c r="D11" s="43"/>
      <c r="E11" s="44">
        <v>20</v>
      </c>
      <c r="F11" s="45" t="s">
        <v>23</v>
      </c>
      <c r="G11" s="69"/>
      <c r="H11" s="73" t="s">
        <v>188</v>
      </c>
      <c r="I11" s="43"/>
      <c r="J11" s="45">
        <f t="shared" si="0"/>
        <v>15</v>
      </c>
      <c r="K11" s="45" t="s">
        <v>23</v>
      </c>
      <c r="L11" s="45"/>
      <c r="M11" s="77" t="e">
        <f>ROUND(#REF!+(#REF!*3/100),2)</f>
        <v>#REF!</v>
      </c>
      <c r="N11" s="65" t="s">
        <v>40</v>
      </c>
      <c r="O11" s="46" t="s">
        <v>124</v>
      </c>
      <c r="P11" s="43"/>
      <c r="Q11" s="47">
        <v>1</v>
      </c>
      <c r="R11" s="85">
        <f t="shared" si="1"/>
        <v>0.75</v>
      </c>
    </row>
    <row r="12" spans="1:19" ht="24.95" customHeight="1" x14ac:dyDescent="0.15">
      <c r="A12" s="222"/>
      <c r="B12" s="65"/>
      <c r="C12" s="42" t="s">
        <v>167</v>
      </c>
      <c r="D12" s="43"/>
      <c r="E12" s="44">
        <v>5</v>
      </c>
      <c r="F12" s="45" t="s">
        <v>23</v>
      </c>
      <c r="G12" s="69"/>
      <c r="H12" s="73" t="s">
        <v>167</v>
      </c>
      <c r="I12" s="43"/>
      <c r="J12" s="45">
        <f t="shared" si="0"/>
        <v>3.75</v>
      </c>
      <c r="K12" s="45" t="s">
        <v>23</v>
      </c>
      <c r="L12" s="45"/>
      <c r="M12" s="77" t="e">
        <f>ROUND(#REF!+(#REF!*15/100),2)</f>
        <v>#REF!</v>
      </c>
      <c r="N12" s="65"/>
      <c r="O12" s="46" t="s">
        <v>57</v>
      </c>
      <c r="P12" s="43"/>
      <c r="Q12" s="47">
        <v>0.1</v>
      </c>
      <c r="R12" s="85">
        <f t="shared" si="1"/>
        <v>0.08</v>
      </c>
    </row>
    <row r="13" spans="1:19" ht="24.95" customHeight="1" x14ac:dyDescent="0.15">
      <c r="A13" s="222"/>
      <c r="B13" s="66"/>
      <c r="C13" s="49"/>
      <c r="D13" s="50"/>
      <c r="E13" s="51"/>
      <c r="F13" s="52"/>
      <c r="G13" s="70"/>
      <c r="H13" s="74"/>
      <c r="I13" s="50"/>
      <c r="J13" s="52"/>
      <c r="K13" s="52"/>
      <c r="L13" s="52"/>
      <c r="M13" s="78"/>
      <c r="N13" s="66"/>
      <c r="O13" s="53"/>
      <c r="P13" s="50"/>
      <c r="Q13" s="54"/>
      <c r="R13" s="84"/>
    </row>
    <row r="14" spans="1:19" ht="24.95" customHeight="1" x14ac:dyDescent="0.15">
      <c r="A14" s="222"/>
      <c r="B14" s="65" t="s">
        <v>260</v>
      </c>
      <c r="C14" s="42" t="s">
        <v>50</v>
      </c>
      <c r="D14" s="43"/>
      <c r="E14" s="44">
        <v>30</v>
      </c>
      <c r="F14" s="45" t="s">
        <v>23</v>
      </c>
      <c r="G14" s="69"/>
      <c r="H14" s="73" t="s">
        <v>50</v>
      </c>
      <c r="I14" s="43"/>
      <c r="J14" s="45">
        <f>ROUNDUP(E14*0.75,2)</f>
        <v>22.5</v>
      </c>
      <c r="K14" s="45" t="s">
        <v>23</v>
      </c>
      <c r="L14" s="45"/>
      <c r="M14" s="77" t="e">
        <f>ROUND(#REF!+(#REF!*15/100),2)</f>
        <v>#REF!</v>
      </c>
      <c r="N14" s="65" t="s">
        <v>261</v>
      </c>
      <c r="O14" s="46" t="s">
        <v>26</v>
      </c>
      <c r="P14" s="43"/>
      <c r="Q14" s="47">
        <v>1</v>
      </c>
      <c r="R14" s="85">
        <f>ROUNDUP(Q14*0.75,2)</f>
        <v>0.75</v>
      </c>
    </row>
    <row r="15" spans="1:19" ht="24.95" customHeight="1" x14ac:dyDescent="0.15">
      <c r="A15" s="222"/>
      <c r="B15" s="65"/>
      <c r="C15" s="42" t="s">
        <v>69</v>
      </c>
      <c r="D15" s="43"/>
      <c r="E15" s="44">
        <v>10</v>
      </c>
      <c r="F15" s="45" t="s">
        <v>23</v>
      </c>
      <c r="G15" s="69"/>
      <c r="H15" s="73" t="s">
        <v>69</v>
      </c>
      <c r="I15" s="43"/>
      <c r="J15" s="45">
        <f>ROUNDUP(E15*0.75,2)</f>
        <v>7.5</v>
      </c>
      <c r="K15" s="45" t="s">
        <v>23</v>
      </c>
      <c r="L15" s="45"/>
      <c r="M15" s="77" t="e">
        <f>ROUND(#REF!+(#REF!*3/100),2)</f>
        <v>#REF!</v>
      </c>
      <c r="N15" s="65" t="s">
        <v>109</v>
      </c>
      <c r="O15" s="46" t="s">
        <v>57</v>
      </c>
      <c r="P15" s="43"/>
      <c r="Q15" s="47">
        <v>0.2</v>
      </c>
      <c r="R15" s="85">
        <f>ROUNDUP(Q15*0.75,2)</f>
        <v>0.15</v>
      </c>
    </row>
    <row r="16" spans="1:19" ht="24.95" customHeight="1" x14ac:dyDescent="0.15">
      <c r="A16" s="222"/>
      <c r="B16" s="65"/>
      <c r="C16" s="42"/>
      <c r="D16" s="43"/>
      <c r="E16" s="44"/>
      <c r="F16" s="45"/>
      <c r="G16" s="69"/>
      <c r="H16" s="73"/>
      <c r="I16" s="43"/>
      <c r="J16" s="45"/>
      <c r="K16" s="45"/>
      <c r="L16" s="45"/>
      <c r="M16" s="77"/>
      <c r="N16" s="65" t="s">
        <v>40</v>
      </c>
      <c r="O16" s="46" t="s">
        <v>111</v>
      </c>
      <c r="P16" s="43"/>
      <c r="Q16" s="47">
        <v>2</v>
      </c>
      <c r="R16" s="85">
        <f>ROUNDUP(Q16*0.75,2)</f>
        <v>1.5</v>
      </c>
    </row>
    <row r="17" spans="1:18" ht="24.95" customHeight="1" x14ac:dyDescent="0.15">
      <c r="A17" s="222"/>
      <c r="B17" s="65"/>
      <c r="C17" s="42"/>
      <c r="D17" s="43"/>
      <c r="E17" s="44"/>
      <c r="F17" s="45"/>
      <c r="G17" s="69"/>
      <c r="H17" s="73"/>
      <c r="I17" s="43"/>
      <c r="J17" s="45"/>
      <c r="K17" s="45"/>
      <c r="L17" s="45"/>
      <c r="M17" s="77"/>
      <c r="N17" s="65"/>
      <c r="O17" s="46" t="s">
        <v>47</v>
      </c>
      <c r="P17" s="43"/>
      <c r="Q17" s="47">
        <v>2</v>
      </c>
      <c r="R17" s="85">
        <f>ROUNDUP(Q17*0.75,2)</f>
        <v>1.5</v>
      </c>
    </row>
    <row r="18" spans="1:18" ht="24.95" customHeight="1" x14ac:dyDescent="0.15">
      <c r="A18" s="222"/>
      <c r="B18" s="66"/>
      <c r="C18" s="49"/>
      <c r="D18" s="50"/>
      <c r="E18" s="51"/>
      <c r="F18" s="52"/>
      <c r="G18" s="70"/>
      <c r="H18" s="74"/>
      <c r="I18" s="50"/>
      <c r="J18" s="52"/>
      <c r="K18" s="52"/>
      <c r="L18" s="52"/>
      <c r="M18" s="78"/>
      <c r="N18" s="66"/>
      <c r="O18" s="53"/>
      <c r="P18" s="50"/>
      <c r="Q18" s="54"/>
      <c r="R18" s="84"/>
    </row>
    <row r="19" spans="1:18" ht="24.95" customHeight="1" x14ac:dyDescent="0.15">
      <c r="A19" s="222"/>
      <c r="B19" s="65" t="s">
        <v>52</v>
      </c>
      <c r="C19" s="42" t="s">
        <v>53</v>
      </c>
      <c r="D19" s="43"/>
      <c r="E19" s="44">
        <v>20</v>
      </c>
      <c r="F19" s="45" t="s">
        <v>23</v>
      </c>
      <c r="G19" s="69"/>
      <c r="H19" s="73" t="s">
        <v>53</v>
      </c>
      <c r="I19" s="43"/>
      <c r="J19" s="45">
        <f>ROUNDUP(E19*0.75,2)</f>
        <v>15</v>
      </c>
      <c r="K19" s="45" t="s">
        <v>23</v>
      </c>
      <c r="L19" s="45"/>
      <c r="M19" s="77" t="e">
        <f>ROUND(#REF!+(#REF!*10/100),2)</f>
        <v>#REF!</v>
      </c>
      <c r="N19" s="65" t="s">
        <v>40</v>
      </c>
      <c r="O19" s="46" t="s">
        <v>25</v>
      </c>
      <c r="P19" s="43"/>
      <c r="Q19" s="47">
        <v>100</v>
      </c>
      <c r="R19" s="85">
        <f>ROUNDUP(Q19*0.75,2)</f>
        <v>75</v>
      </c>
    </row>
    <row r="20" spans="1:18" ht="24.95" customHeight="1" x14ac:dyDescent="0.15">
      <c r="A20" s="222"/>
      <c r="B20" s="65"/>
      <c r="C20" s="42" t="s">
        <v>54</v>
      </c>
      <c r="D20" s="43" t="s">
        <v>55</v>
      </c>
      <c r="E20" s="55">
        <v>0.125</v>
      </c>
      <c r="F20" s="45" t="s">
        <v>56</v>
      </c>
      <c r="G20" s="69"/>
      <c r="H20" s="73" t="s">
        <v>54</v>
      </c>
      <c r="I20" s="43" t="s">
        <v>55</v>
      </c>
      <c r="J20" s="45">
        <f>ROUNDUP(E20*0.75,2)</f>
        <v>9.9999999999999992E-2</v>
      </c>
      <c r="K20" s="45" t="s">
        <v>56</v>
      </c>
      <c r="L20" s="45"/>
      <c r="M20" s="77" t="e">
        <f>#REF!</f>
        <v>#REF!</v>
      </c>
      <c r="N20" s="65"/>
      <c r="O20" s="46" t="s">
        <v>57</v>
      </c>
      <c r="P20" s="43"/>
      <c r="Q20" s="47">
        <v>0.1</v>
      </c>
      <c r="R20" s="85">
        <f>ROUNDUP(Q20*0.75,2)</f>
        <v>0.08</v>
      </c>
    </row>
    <row r="21" spans="1:18" ht="24.95" customHeight="1" x14ac:dyDescent="0.15">
      <c r="A21" s="222"/>
      <c r="B21" s="65"/>
      <c r="C21" s="42"/>
      <c r="D21" s="43"/>
      <c r="E21" s="44"/>
      <c r="F21" s="45"/>
      <c r="G21" s="69"/>
      <c r="H21" s="73"/>
      <c r="I21" s="43"/>
      <c r="J21" s="45"/>
      <c r="K21" s="45"/>
      <c r="L21" s="45"/>
      <c r="M21" s="77"/>
      <c r="N21" s="65"/>
      <c r="O21" s="46" t="s">
        <v>28</v>
      </c>
      <c r="P21" s="43" t="s">
        <v>29</v>
      </c>
      <c r="Q21" s="47">
        <v>0.5</v>
      </c>
      <c r="R21" s="85">
        <f>ROUNDUP(Q21*0.75,2)</f>
        <v>0.38</v>
      </c>
    </row>
    <row r="22" spans="1:18" ht="24.95" customHeight="1" x14ac:dyDescent="0.15">
      <c r="A22" s="222"/>
      <c r="B22" s="66"/>
      <c r="C22" s="49"/>
      <c r="D22" s="50"/>
      <c r="E22" s="51"/>
      <c r="F22" s="52"/>
      <c r="G22" s="70"/>
      <c r="H22" s="74"/>
      <c r="I22" s="50"/>
      <c r="J22" s="52"/>
      <c r="K22" s="52"/>
      <c r="L22" s="52"/>
      <c r="M22" s="78"/>
      <c r="N22" s="66"/>
      <c r="O22" s="53"/>
      <c r="P22" s="50"/>
      <c r="Q22" s="54"/>
      <c r="R22" s="84"/>
    </row>
    <row r="23" spans="1:18" ht="24.95" customHeight="1" x14ac:dyDescent="0.15">
      <c r="A23" s="222"/>
      <c r="B23" s="65" t="s">
        <v>189</v>
      </c>
      <c r="C23" s="42" t="s">
        <v>190</v>
      </c>
      <c r="D23" s="43"/>
      <c r="E23" s="81">
        <v>0.25</v>
      </c>
      <c r="F23" s="45" t="s">
        <v>133</v>
      </c>
      <c r="G23" s="69"/>
      <c r="H23" s="73" t="s">
        <v>190</v>
      </c>
      <c r="I23" s="43"/>
      <c r="J23" s="45">
        <f>ROUNDUP(E23*0.75,2)</f>
        <v>0.19</v>
      </c>
      <c r="K23" s="45" t="s">
        <v>133</v>
      </c>
      <c r="L23" s="45"/>
      <c r="M23" s="77" t="e">
        <f>#REF!</f>
        <v>#REF!</v>
      </c>
      <c r="N23" s="65" t="s">
        <v>59</v>
      </c>
      <c r="O23" s="46"/>
      <c r="P23" s="43"/>
      <c r="Q23" s="47"/>
      <c r="R23" s="85"/>
    </row>
    <row r="24" spans="1:18" ht="24.95" customHeight="1" thickBot="1" x14ac:dyDescent="0.2">
      <c r="A24" s="223"/>
      <c r="B24" s="67"/>
      <c r="C24" s="57"/>
      <c r="D24" s="58"/>
      <c r="E24" s="59"/>
      <c r="F24" s="60"/>
      <c r="G24" s="71"/>
      <c r="H24" s="75"/>
      <c r="I24" s="58"/>
      <c r="J24" s="60"/>
      <c r="K24" s="60"/>
      <c r="L24" s="60"/>
      <c r="M24" s="79"/>
      <c r="N24" s="67"/>
      <c r="O24" s="61"/>
      <c r="P24" s="58"/>
      <c r="Q24" s="62"/>
      <c r="R24" s="86"/>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3.625" style="27" bestFit="1" customWidth="1"/>
    <col min="4" max="4" width="17.125" style="26" customWidth="1"/>
    <col min="5" max="5" width="8.125" style="29" customWidth="1"/>
    <col min="6" max="6" width="4" style="30" customWidth="1"/>
    <col min="7" max="7" width="10.25" style="30" hidden="1" customWidth="1"/>
    <col min="8" max="8" width="21.12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88.62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136</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137</v>
      </c>
      <c r="C5" s="36" t="s">
        <v>76</v>
      </c>
      <c r="D5" s="37"/>
      <c r="E5" s="38">
        <v>30</v>
      </c>
      <c r="F5" s="39" t="s">
        <v>23</v>
      </c>
      <c r="G5" s="68" t="s">
        <v>35</v>
      </c>
      <c r="H5" s="72" t="s">
        <v>76</v>
      </c>
      <c r="I5" s="37"/>
      <c r="J5" s="39">
        <f t="shared" ref="J5:J10" si="0">ROUNDUP(E5*0.75,2)</f>
        <v>22.5</v>
      </c>
      <c r="K5" s="39" t="s">
        <v>23</v>
      </c>
      <c r="L5" s="39" t="s">
        <v>35</v>
      </c>
      <c r="M5" s="76" t="e">
        <f>#REF!</f>
        <v>#REF!</v>
      </c>
      <c r="N5" s="64" t="s">
        <v>138</v>
      </c>
      <c r="O5" s="40" t="s">
        <v>20</v>
      </c>
      <c r="P5" s="37"/>
      <c r="Q5" s="41">
        <v>110</v>
      </c>
      <c r="R5" s="83">
        <f t="shared" ref="R5:R10" si="1">ROUNDUP(Q5*0.75,2)</f>
        <v>82.5</v>
      </c>
    </row>
    <row r="6" spans="1:19" ht="24.95" customHeight="1" x14ac:dyDescent="0.15">
      <c r="A6" s="222"/>
      <c r="B6" s="65"/>
      <c r="C6" s="42" t="s">
        <v>44</v>
      </c>
      <c r="D6" s="43"/>
      <c r="E6" s="44">
        <v>30</v>
      </c>
      <c r="F6" s="45" t="s">
        <v>23</v>
      </c>
      <c r="G6" s="69"/>
      <c r="H6" s="73" t="s">
        <v>44</v>
      </c>
      <c r="I6" s="43"/>
      <c r="J6" s="45">
        <f t="shared" si="0"/>
        <v>22.5</v>
      </c>
      <c r="K6" s="45" t="s">
        <v>23</v>
      </c>
      <c r="L6" s="45"/>
      <c r="M6" s="77" t="e">
        <f>ROUND(#REF!+(#REF!*6/100),2)</f>
        <v>#REF!</v>
      </c>
      <c r="N6" s="65" t="s">
        <v>139</v>
      </c>
      <c r="O6" s="46" t="s">
        <v>27</v>
      </c>
      <c r="P6" s="43"/>
      <c r="Q6" s="47">
        <v>0.5</v>
      </c>
      <c r="R6" s="85">
        <f t="shared" si="1"/>
        <v>0.38</v>
      </c>
    </row>
    <row r="7" spans="1:19" ht="24.95" customHeight="1" x14ac:dyDescent="0.15">
      <c r="A7" s="222"/>
      <c r="B7" s="65"/>
      <c r="C7" s="42" t="s">
        <v>65</v>
      </c>
      <c r="D7" s="43"/>
      <c r="E7" s="44">
        <v>40</v>
      </c>
      <c r="F7" s="45" t="s">
        <v>23</v>
      </c>
      <c r="G7" s="69"/>
      <c r="H7" s="73" t="s">
        <v>65</v>
      </c>
      <c r="I7" s="43"/>
      <c r="J7" s="45">
        <f t="shared" si="0"/>
        <v>30</v>
      </c>
      <c r="K7" s="45" t="s">
        <v>23</v>
      </c>
      <c r="L7" s="45"/>
      <c r="M7" s="77" t="e">
        <f>ROUND(#REF!+(#REF!*10/100),2)</f>
        <v>#REF!</v>
      </c>
      <c r="N7" s="65" t="s">
        <v>140</v>
      </c>
      <c r="O7" s="46" t="s">
        <v>47</v>
      </c>
      <c r="P7" s="43"/>
      <c r="Q7" s="47">
        <v>1</v>
      </c>
      <c r="R7" s="85">
        <f t="shared" si="1"/>
        <v>0.75</v>
      </c>
    </row>
    <row r="8" spans="1:19" ht="24.95" customHeight="1" x14ac:dyDescent="0.15">
      <c r="A8" s="222"/>
      <c r="B8" s="65"/>
      <c r="C8" s="42" t="s">
        <v>142</v>
      </c>
      <c r="D8" s="43"/>
      <c r="E8" s="44">
        <v>10</v>
      </c>
      <c r="F8" s="45" t="s">
        <v>23</v>
      </c>
      <c r="G8" s="69"/>
      <c r="H8" s="73" t="s">
        <v>142</v>
      </c>
      <c r="I8" s="43"/>
      <c r="J8" s="45">
        <f t="shared" si="0"/>
        <v>7.5</v>
      </c>
      <c r="K8" s="45" t="s">
        <v>23</v>
      </c>
      <c r="L8" s="45"/>
      <c r="M8" s="77" t="e">
        <f>#REF!</f>
        <v>#REF!</v>
      </c>
      <c r="N8" s="65" t="s">
        <v>141</v>
      </c>
      <c r="O8" s="46" t="s">
        <v>73</v>
      </c>
      <c r="P8" s="43"/>
      <c r="Q8" s="47">
        <v>40</v>
      </c>
      <c r="R8" s="85">
        <f t="shared" si="1"/>
        <v>30</v>
      </c>
    </row>
    <row r="9" spans="1:19" ht="24.95" customHeight="1" x14ac:dyDescent="0.15">
      <c r="A9" s="222"/>
      <c r="B9" s="65"/>
      <c r="C9" s="42" t="s">
        <v>143</v>
      </c>
      <c r="D9" s="43" t="s">
        <v>29</v>
      </c>
      <c r="E9" s="44">
        <v>9</v>
      </c>
      <c r="F9" s="45" t="s">
        <v>23</v>
      </c>
      <c r="G9" s="69"/>
      <c r="H9" s="73" t="s">
        <v>143</v>
      </c>
      <c r="I9" s="43" t="s">
        <v>29</v>
      </c>
      <c r="J9" s="45">
        <f t="shared" si="0"/>
        <v>6.75</v>
      </c>
      <c r="K9" s="45" t="s">
        <v>23</v>
      </c>
      <c r="L9" s="45"/>
      <c r="M9" s="77" t="e">
        <f>#REF!</f>
        <v>#REF!</v>
      </c>
      <c r="N9" s="65" t="s">
        <v>266</v>
      </c>
      <c r="O9" s="46" t="s">
        <v>26</v>
      </c>
      <c r="P9" s="43"/>
      <c r="Q9" s="47">
        <v>0.5</v>
      </c>
      <c r="R9" s="85">
        <f t="shared" si="1"/>
        <v>0.38</v>
      </c>
    </row>
    <row r="10" spans="1:19" ht="24.95" customHeight="1" x14ac:dyDescent="0.15">
      <c r="A10" s="222"/>
      <c r="B10" s="65"/>
      <c r="C10" s="42" t="s">
        <v>62</v>
      </c>
      <c r="D10" s="43" t="s">
        <v>63</v>
      </c>
      <c r="E10" s="44">
        <v>30</v>
      </c>
      <c r="F10" s="45" t="s">
        <v>64</v>
      </c>
      <c r="G10" s="69" t="s">
        <v>22</v>
      </c>
      <c r="H10" s="73" t="s">
        <v>62</v>
      </c>
      <c r="I10" s="43" t="s">
        <v>63</v>
      </c>
      <c r="J10" s="45">
        <f t="shared" si="0"/>
        <v>22.5</v>
      </c>
      <c r="K10" s="45" t="s">
        <v>64</v>
      </c>
      <c r="L10" s="45" t="s">
        <v>22</v>
      </c>
      <c r="M10" s="77" t="e">
        <f>#REF!</f>
        <v>#REF!</v>
      </c>
      <c r="N10" s="65" t="s">
        <v>267</v>
      </c>
      <c r="O10" s="46" t="s">
        <v>105</v>
      </c>
      <c r="P10" s="43"/>
      <c r="Q10" s="47">
        <v>2</v>
      </c>
      <c r="R10" s="85">
        <f t="shared" si="1"/>
        <v>1.5</v>
      </c>
    </row>
    <row r="11" spans="1:19" ht="24.95" customHeight="1" x14ac:dyDescent="0.15">
      <c r="A11" s="222"/>
      <c r="B11" s="66"/>
      <c r="C11" s="49"/>
      <c r="D11" s="50"/>
      <c r="E11" s="51"/>
      <c r="F11" s="52"/>
      <c r="G11" s="70"/>
      <c r="H11" s="74"/>
      <c r="I11" s="50"/>
      <c r="J11" s="52"/>
      <c r="K11" s="52"/>
      <c r="L11" s="52"/>
      <c r="M11" s="78"/>
      <c r="N11" s="66" t="s">
        <v>40</v>
      </c>
      <c r="O11" s="53"/>
      <c r="P11" s="50"/>
      <c r="Q11" s="54"/>
      <c r="R11" s="84"/>
    </row>
    <row r="12" spans="1:19" ht="24.95" customHeight="1" x14ac:dyDescent="0.15">
      <c r="A12" s="222"/>
      <c r="B12" s="65" t="s">
        <v>144</v>
      </c>
      <c r="C12" s="42" t="s">
        <v>147</v>
      </c>
      <c r="D12" s="43"/>
      <c r="E12" s="44">
        <v>30</v>
      </c>
      <c r="F12" s="45" t="s">
        <v>23</v>
      </c>
      <c r="G12" s="69" t="s">
        <v>31</v>
      </c>
      <c r="H12" s="73" t="s">
        <v>147</v>
      </c>
      <c r="I12" s="43"/>
      <c r="J12" s="45">
        <f>ROUNDUP(E12*0.75,2)</f>
        <v>22.5</v>
      </c>
      <c r="K12" s="45" t="s">
        <v>23</v>
      </c>
      <c r="L12" s="45" t="s">
        <v>31</v>
      </c>
      <c r="M12" s="77" t="e">
        <f>#REF!</f>
        <v>#REF!</v>
      </c>
      <c r="N12" s="65" t="s">
        <v>145</v>
      </c>
      <c r="O12" s="46" t="s">
        <v>26</v>
      </c>
      <c r="P12" s="43"/>
      <c r="Q12" s="47">
        <v>1</v>
      </c>
      <c r="R12" s="85">
        <f>ROUNDUP(Q12*0.75,2)</f>
        <v>0.75</v>
      </c>
    </row>
    <row r="13" spans="1:19" ht="24.95" customHeight="1" x14ac:dyDescent="0.15">
      <c r="A13" s="222"/>
      <c r="B13" s="65"/>
      <c r="C13" s="42" t="s">
        <v>87</v>
      </c>
      <c r="D13" s="43"/>
      <c r="E13" s="44">
        <v>10</v>
      </c>
      <c r="F13" s="45" t="s">
        <v>23</v>
      </c>
      <c r="G13" s="69" t="s">
        <v>88</v>
      </c>
      <c r="H13" s="73" t="s">
        <v>87</v>
      </c>
      <c r="I13" s="43"/>
      <c r="J13" s="45">
        <f>ROUNDUP(E13*0.75,2)</f>
        <v>7.5</v>
      </c>
      <c r="K13" s="45" t="s">
        <v>23</v>
      </c>
      <c r="L13" s="45" t="s">
        <v>88</v>
      </c>
      <c r="M13" s="77" t="e">
        <f>#REF!</f>
        <v>#REF!</v>
      </c>
      <c r="N13" s="65" t="s">
        <v>146</v>
      </c>
      <c r="O13" s="46" t="s">
        <v>57</v>
      </c>
      <c r="P13" s="43"/>
      <c r="Q13" s="47">
        <v>0.1</v>
      </c>
      <c r="R13" s="85">
        <f>ROUNDUP(Q13*0.75,2)</f>
        <v>0.08</v>
      </c>
    </row>
    <row r="14" spans="1:19" ht="24.95" customHeight="1" x14ac:dyDescent="0.15">
      <c r="A14" s="222"/>
      <c r="B14" s="65"/>
      <c r="C14" s="42"/>
      <c r="D14" s="43"/>
      <c r="E14" s="44"/>
      <c r="F14" s="45"/>
      <c r="G14" s="69"/>
      <c r="H14" s="73"/>
      <c r="I14" s="43"/>
      <c r="J14" s="45"/>
      <c r="K14" s="45"/>
      <c r="L14" s="45"/>
      <c r="M14" s="77"/>
      <c r="N14" s="65" t="s">
        <v>40</v>
      </c>
      <c r="O14" s="46" t="s">
        <v>111</v>
      </c>
      <c r="P14" s="43"/>
      <c r="Q14" s="47">
        <v>2</v>
      </c>
      <c r="R14" s="85">
        <f>ROUNDUP(Q14*0.75,2)</f>
        <v>1.5</v>
      </c>
    </row>
    <row r="15" spans="1:19" ht="24.95" customHeight="1" x14ac:dyDescent="0.15">
      <c r="A15" s="222"/>
      <c r="B15" s="65"/>
      <c r="C15" s="42"/>
      <c r="D15" s="43"/>
      <c r="E15" s="44"/>
      <c r="F15" s="45"/>
      <c r="G15" s="69"/>
      <c r="H15" s="73"/>
      <c r="I15" s="43"/>
      <c r="J15" s="45"/>
      <c r="K15" s="45"/>
      <c r="L15" s="45"/>
      <c r="M15" s="77"/>
      <c r="N15" s="65"/>
      <c r="O15" s="46" t="s">
        <v>47</v>
      </c>
      <c r="P15" s="43"/>
      <c r="Q15" s="47">
        <v>2</v>
      </c>
      <c r="R15" s="85">
        <f>ROUNDUP(Q15*0.75,2)</f>
        <v>1.5</v>
      </c>
    </row>
    <row r="16" spans="1:19" ht="24.95" customHeight="1" x14ac:dyDescent="0.15">
      <c r="A16" s="222"/>
      <c r="B16" s="66"/>
      <c r="C16" s="49"/>
      <c r="D16" s="50"/>
      <c r="E16" s="51"/>
      <c r="F16" s="52"/>
      <c r="G16" s="70"/>
      <c r="H16" s="74"/>
      <c r="I16" s="50"/>
      <c r="J16" s="52"/>
      <c r="K16" s="52"/>
      <c r="L16" s="52"/>
      <c r="M16" s="78"/>
      <c r="N16" s="66"/>
      <c r="O16" s="53"/>
      <c r="P16" s="50"/>
      <c r="Q16" s="54"/>
      <c r="R16" s="84"/>
    </row>
    <row r="17" spans="1:18" ht="24.95" customHeight="1" x14ac:dyDescent="0.15">
      <c r="A17" s="222"/>
      <c r="B17" s="65" t="s">
        <v>148</v>
      </c>
      <c r="C17" s="42" t="s">
        <v>262</v>
      </c>
      <c r="D17" s="43"/>
      <c r="E17" s="44">
        <v>20</v>
      </c>
      <c r="F17" s="45" t="s">
        <v>23</v>
      </c>
      <c r="G17" s="69" t="s">
        <v>149</v>
      </c>
      <c r="H17" s="73" t="s">
        <v>262</v>
      </c>
      <c r="I17" s="43"/>
      <c r="J17" s="45">
        <f>ROUNDUP(E17*0.75,2)</f>
        <v>15</v>
      </c>
      <c r="K17" s="45" t="s">
        <v>23</v>
      </c>
      <c r="L17" s="45" t="s">
        <v>149</v>
      </c>
      <c r="M17" s="77" t="e">
        <f>#REF!</f>
        <v>#REF!</v>
      </c>
      <c r="N17" s="65"/>
      <c r="O17" s="46"/>
      <c r="P17" s="43"/>
      <c r="Q17" s="47"/>
      <c r="R17" s="85"/>
    </row>
    <row r="18" spans="1:18" ht="24.95" customHeight="1" thickBot="1" x14ac:dyDescent="0.2">
      <c r="A18" s="223"/>
      <c r="B18" s="67"/>
      <c r="C18" s="57"/>
      <c r="D18" s="58"/>
      <c r="E18" s="59"/>
      <c r="F18" s="60"/>
      <c r="G18" s="71"/>
      <c r="H18" s="75"/>
      <c r="I18" s="58"/>
      <c r="J18" s="60"/>
      <c r="K18" s="60"/>
      <c r="L18" s="60"/>
      <c r="M18" s="79"/>
      <c r="N18" s="67"/>
      <c r="O18" s="61"/>
      <c r="P18" s="58"/>
      <c r="Q18" s="62"/>
      <c r="R18" s="86"/>
    </row>
  </sheetData>
  <mergeCells count="4">
    <mergeCell ref="H1:N1"/>
    <mergeCell ref="A2:R2"/>
    <mergeCell ref="A3:F3"/>
    <mergeCell ref="A5:A18"/>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15.125" style="27" bestFit="1" customWidth="1"/>
    <col min="4" max="4" width="17.125" style="26" customWidth="1"/>
    <col min="5" max="5" width="8.125" style="29" customWidth="1"/>
    <col min="6" max="6" width="4" style="30" customWidth="1"/>
    <col min="7" max="7" width="10.25" style="30" hidden="1" customWidth="1"/>
    <col min="8" max="8" width="13.87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153</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20</v>
      </c>
      <c r="C5" s="36"/>
      <c r="D5" s="37"/>
      <c r="E5" s="38"/>
      <c r="F5" s="39"/>
      <c r="G5" s="68"/>
      <c r="H5" s="72"/>
      <c r="I5" s="37"/>
      <c r="J5" s="39"/>
      <c r="K5" s="39"/>
      <c r="L5" s="39"/>
      <c r="M5" s="76"/>
      <c r="N5" s="64"/>
      <c r="O5" s="40" t="s">
        <v>20</v>
      </c>
      <c r="P5" s="37"/>
      <c r="Q5" s="41">
        <v>110</v>
      </c>
      <c r="R5" s="83">
        <f>ROUNDUP(Q5*0.75,2)</f>
        <v>82.5</v>
      </c>
    </row>
    <row r="6" spans="1:19" ht="24.95" customHeight="1" x14ac:dyDescent="0.15">
      <c r="A6" s="222"/>
      <c r="B6" s="66"/>
      <c r="C6" s="49"/>
      <c r="D6" s="50"/>
      <c r="E6" s="51"/>
      <c r="F6" s="52"/>
      <c r="G6" s="70"/>
      <c r="H6" s="74"/>
      <c r="I6" s="50"/>
      <c r="J6" s="52"/>
      <c r="K6" s="52"/>
      <c r="L6" s="52"/>
      <c r="M6" s="78"/>
      <c r="N6" s="66"/>
      <c r="O6" s="53"/>
      <c r="P6" s="50"/>
      <c r="Q6" s="54"/>
      <c r="R6" s="84"/>
    </row>
    <row r="7" spans="1:19" ht="24.95" customHeight="1" x14ac:dyDescent="0.15">
      <c r="A7" s="222"/>
      <c r="B7" s="65" t="s">
        <v>154</v>
      </c>
      <c r="C7" s="42" t="s">
        <v>159</v>
      </c>
      <c r="D7" s="43"/>
      <c r="E7" s="44">
        <v>1</v>
      </c>
      <c r="F7" s="45" t="s">
        <v>72</v>
      </c>
      <c r="G7" s="69" t="s">
        <v>160</v>
      </c>
      <c r="H7" s="73" t="s">
        <v>159</v>
      </c>
      <c r="I7" s="43"/>
      <c r="J7" s="45">
        <f>ROUNDUP(E7*0.75,2)</f>
        <v>0.75</v>
      </c>
      <c r="K7" s="45" t="s">
        <v>72</v>
      </c>
      <c r="L7" s="45" t="s">
        <v>160</v>
      </c>
      <c r="M7" s="77" t="e">
        <f>#REF!</f>
        <v>#REF!</v>
      </c>
      <c r="N7" s="65" t="s">
        <v>155</v>
      </c>
      <c r="O7" s="46" t="s">
        <v>103</v>
      </c>
      <c r="P7" s="43" t="s">
        <v>63</v>
      </c>
      <c r="Q7" s="47">
        <v>1</v>
      </c>
      <c r="R7" s="85">
        <f t="shared" ref="R7:R14" si="0">ROUNDUP(Q7*0.75,2)</f>
        <v>0.75</v>
      </c>
    </row>
    <row r="8" spans="1:19" ht="24.95" customHeight="1" x14ac:dyDescent="0.15">
      <c r="A8" s="222"/>
      <c r="B8" s="65"/>
      <c r="C8" s="42" t="s">
        <v>44</v>
      </c>
      <c r="D8" s="43"/>
      <c r="E8" s="44">
        <v>10</v>
      </c>
      <c r="F8" s="45" t="s">
        <v>23</v>
      </c>
      <c r="G8" s="69"/>
      <c r="H8" s="73" t="s">
        <v>44</v>
      </c>
      <c r="I8" s="43"/>
      <c r="J8" s="45">
        <f>ROUNDUP(E8*0.75,2)</f>
        <v>7.5</v>
      </c>
      <c r="K8" s="45" t="s">
        <v>23</v>
      </c>
      <c r="L8" s="45"/>
      <c r="M8" s="77" t="e">
        <f>ROUND(#REF!+(#REF!*6/100),2)</f>
        <v>#REF!</v>
      </c>
      <c r="N8" s="65" t="s">
        <v>268</v>
      </c>
      <c r="O8" s="46" t="s">
        <v>68</v>
      </c>
      <c r="P8" s="43" t="s">
        <v>29</v>
      </c>
      <c r="Q8" s="47">
        <v>2</v>
      </c>
      <c r="R8" s="85">
        <f t="shared" si="0"/>
        <v>1.5</v>
      </c>
    </row>
    <row r="9" spans="1:19" ht="24.95" customHeight="1" x14ac:dyDescent="0.15">
      <c r="A9" s="222"/>
      <c r="B9" s="65"/>
      <c r="C9" s="42" t="s">
        <v>161</v>
      </c>
      <c r="D9" s="43"/>
      <c r="E9" s="44">
        <v>10</v>
      </c>
      <c r="F9" s="45" t="s">
        <v>23</v>
      </c>
      <c r="G9" s="69"/>
      <c r="H9" s="73" t="s">
        <v>161</v>
      </c>
      <c r="I9" s="43"/>
      <c r="J9" s="45">
        <f>ROUNDUP(E9*0.75,2)</f>
        <v>7.5</v>
      </c>
      <c r="K9" s="45" t="s">
        <v>23</v>
      </c>
      <c r="L9" s="45"/>
      <c r="M9" s="77" t="e">
        <f>ROUND(#REF!+(#REF!*10/100),2)</f>
        <v>#REF!</v>
      </c>
      <c r="N9" s="65" t="s">
        <v>269</v>
      </c>
      <c r="O9" s="46" t="s">
        <v>57</v>
      </c>
      <c r="P9" s="43"/>
      <c r="Q9" s="47">
        <v>0.2</v>
      </c>
      <c r="R9" s="85">
        <f t="shared" si="0"/>
        <v>0.15</v>
      </c>
    </row>
    <row r="10" spans="1:19" ht="24.95" customHeight="1" x14ac:dyDescent="0.15">
      <c r="A10" s="222"/>
      <c r="B10" s="65"/>
      <c r="C10" s="42" t="s">
        <v>62</v>
      </c>
      <c r="D10" s="43" t="s">
        <v>63</v>
      </c>
      <c r="E10" s="44">
        <v>30</v>
      </c>
      <c r="F10" s="45" t="s">
        <v>64</v>
      </c>
      <c r="G10" s="69" t="s">
        <v>22</v>
      </c>
      <c r="H10" s="73" t="s">
        <v>62</v>
      </c>
      <c r="I10" s="43" t="s">
        <v>63</v>
      </c>
      <c r="J10" s="45">
        <f>ROUNDUP(E10*0.75,2)</f>
        <v>22.5</v>
      </c>
      <c r="K10" s="45" t="s">
        <v>64</v>
      </c>
      <c r="L10" s="45" t="s">
        <v>22</v>
      </c>
      <c r="M10" s="77" t="e">
        <f>#REF!</f>
        <v>#REF!</v>
      </c>
      <c r="N10" s="65" t="s">
        <v>156</v>
      </c>
      <c r="O10" s="46" t="s">
        <v>27</v>
      </c>
      <c r="P10" s="43"/>
      <c r="Q10" s="47">
        <v>0.5</v>
      </c>
      <c r="R10" s="85">
        <f t="shared" si="0"/>
        <v>0.38</v>
      </c>
    </row>
    <row r="11" spans="1:19" ht="24.95" customHeight="1" x14ac:dyDescent="0.15">
      <c r="A11" s="222"/>
      <c r="B11" s="65"/>
      <c r="C11" s="42" t="s">
        <v>45</v>
      </c>
      <c r="D11" s="43" t="s">
        <v>29</v>
      </c>
      <c r="E11" s="44">
        <v>3</v>
      </c>
      <c r="F11" s="45" t="s">
        <v>23</v>
      </c>
      <c r="G11" s="69" t="s">
        <v>46</v>
      </c>
      <c r="H11" s="73" t="s">
        <v>45</v>
      </c>
      <c r="I11" s="43" t="s">
        <v>29</v>
      </c>
      <c r="J11" s="45">
        <f>ROUNDUP(E11*0.75,2)</f>
        <v>2.25</v>
      </c>
      <c r="K11" s="45" t="s">
        <v>23</v>
      </c>
      <c r="L11" s="45" t="s">
        <v>46</v>
      </c>
      <c r="M11" s="77" t="e">
        <f>#REF!</f>
        <v>#REF!</v>
      </c>
      <c r="N11" s="65" t="s">
        <v>157</v>
      </c>
      <c r="O11" s="46" t="s">
        <v>47</v>
      </c>
      <c r="P11" s="43"/>
      <c r="Q11" s="47">
        <v>1</v>
      </c>
      <c r="R11" s="85">
        <f t="shared" si="0"/>
        <v>0.75</v>
      </c>
    </row>
    <row r="12" spans="1:19" ht="24.95" customHeight="1" x14ac:dyDescent="0.15">
      <c r="A12" s="222"/>
      <c r="B12" s="65"/>
      <c r="C12" s="42"/>
      <c r="D12" s="43"/>
      <c r="E12" s="44"/>
      <c r="F12" s="45"/>
      <c r="G12" s="69"/>
      <c r="H12" s="73"/>
      <c r="I12" s="43"/>
      <c r="J12" s="45"/>
      <c r="K12" s="45"/>
      <c r="L12" s="45"/>
      <c r="M12" s="77"/>
      <c r="N12" s="65" t="s">
        <v>158</v>
      </c>
      <c r="O12" s="46" t="s">
        <v>47</v>
      </c>
      <c r="P12" s="43"/>
      <c r="Q12" s="47">
        <v>1</v>
      </c>
      <c r="R12" s="85">
        <f t="shared" si="0"/>
        <v>0.75</v>
      </c>
    </row>
    <row r="13" spans="1:19" ht="24.95" customHeight="1" x14ac:dyDescent="0.15">
      <c r="A13" s="222"/>
      <c r="B13" s="65"/>
      <c r="C13" s="42"/>
      <c r="D13" s="43"/>
      <c r="E13" s="44"/>
      <c r="F13" s="45"/>
      <c r="G13" s="69"/>
      <c r="H13" s="73"/>
      <c r="I13" s="43"/>
      <c r="J13" s="45"/>
      <c r="K13" s="45"/>
      <c r="L13" s="45"/>
      <c r="M13" s="77"/>
      <c r="N13" s="65" t="s">
        <v>270</v>
      </c>
      <c r="O13" s="46" t="s">
        <v>57</v>
      </c>
      <c r="P13" s="43"/>
      <c r="Q13" s="47">
        <v>0.2</v>
      </c>
      <c r="R13" s="85">
        <f t="shared" si="0"/>
        <v>0.15</v>
      </c>
    </row>
    <row r="14" spans="1:19" ht="24.95" customHeight="1" x14ac:dyDescent="0.15">
      <c r="A14" s="222"/>
      <c r="B14" s="65"/>
      <c r="C14" s="42"/>
      <c r="D14" s="43"/>
      <c r="E14" s="44"/>
      <c r="F14" s="45"/>
      <c r="G14" s="69"/>
      <c r="H14" s="73"/>
      <c r="I14" s="43"/>
      <c r="J14" s="45"/>
      <c r="K14" s="45"/>
      <c r="L14" s="45"/>
      <c r="M14" s="77"/>
      <c r="N14" s="65" t="s">
        <v>271</v>
      </c>
      <c r="O14" s="46" t="s">
        <v>79</v>
      </c>
      <c r="P14" s="43"/>
      <c r="Q14" s="47">
        <v>0.01</v>
      </c>
      <c r="R14" s="85">
        <f t="shared" si="0"/>
        <v>0.01</v>
      </c>
    </row>
    <row r="15" spans="1:19" ht="24.95" customHeight="1" x14ac:dyDescent="0.15">
      <c r="A15" s="222"/>
      <c r="B15" s="66"/>
      <c r="C15" s="49"/>
      <c r="D15" s="50"/>
      <c r="E15" s="51"/>
      <c r="F15" s="52"/>
      <c r="G15" s="70"/>
      <c r="H15" s="74"/>
      <c r="I15" s="50"/>
      <c r="J15" s="52"/>
      <c r="K15" s="52"/>
      <c r="L15" s="52"/>
      <c r="M15" s="78"/>
      <c r="N15" s="66" t="s">
        <v>40</v>
      </c>
      <c r="O15" s="53"/>
      <c r="P15" s="50"/>
      <c r="Q15" s="54"/>
      <c r="R15" s="84"/>
    </row>
    <row r="16" spans="1:19" ht="24.95" customHeight="1" x14ac:dyDescent="0.15">
      <c r="A16" s="222"/>
      <c r="B16" s="65" t="s">
        <v>162</v>
      </c>
      <c r="C16" s="42" t="s">
        <v>74</v>
      </c>
      <c r="D16" s="43"/>
      <c r="E16" s="44">
        <v>50</v>
      </c>
      <c r="F16" s="45" t="s">
        <v>23</v>
      </c>
      <c r="G16" s="69"/>
      <c r="H16" s="73" t="s">
        <v>74</v>
      </c>
      <c r="I16" s="43"/>
      <c r="J16" s="45">
        <f>ROUNDUP(E16*0.75,2)</f>
        <v>37.5</v>
      </c>
      <c r="K16" s="45" t="s">
        <v>23</v>
      </c>
      <c r="L16" s="45"/>
      <c r="M16" s="77" t="e">
        <f>ROUND(#REF!+(#REF!*10/100),2)</f>
        <v>#REF!</v>
      </c>
      <c r="N16" s="65" t="s">
        <v>163</v>
      </c>
      <c r="O16" s="46" t="s">
        <v>73</v>
      </c>
      <c r="P16" s="43"/>
      <c r="Q16" s="47">
        <v>20</v>
      </c>
      <c r="R16" s="85">
        <f>ROUNDUP(Q16*0.75,2)</f>
        <v>15</v>
      </c>
    </row>
    <row r="17" spans="1:18" ht="24.95" customHeight="1" x14ac:dyDescent="0.15">
      <c r="A17" s="222"/>
      <c r="B17" s="65"/>
      <c r="C17" s="42"/>
      <c r="D17" s="43"/>
      <c r="E17" s="44"/>
      <c r="F17" s="45"/>
      <c r="G17" s="69"/>
      <c r="H17" s="73"/>
      <c r="I17" s="43"/>
      <c r="J17" s="45"/>
      <c r="K17" s="45"/>
      <c r="L17" s="45"/>
      <c r="M17" s="77"/>
      <c r="N17" s="65" t="s">
        <v>301</v>
      </c>
      <c r="O17" s="46" t="s">
        <v>57</v>
      </c>
      <c r="P17" s="43"/>
      <c r="Q17" s="47">
        <v>0.1</v>
      </c>
      <c r="R17" s="85">
        <f>ROUNDUP(Q17*0.75,2)</f>
        <v>0.08</v>
      </c>
    </row>
    <row r="18" spans="1:18" ht="24.95" customHeight="1" x14ac:dyDescent="0.15">
      <c r="A18" s="222"/>
      <c r="B18" s="65"/>
      <c r="C18" s="42"/>
      <c r="D18" s="43"/>
      <c r="E18" s="44"/>
      <c r="F18" s="45"/>
      <c r="G18" s="69"/>
      <c r="H18" s="73"/>
      <c r="I18" s="43"/>
      <c r="J18" s="45"/>
      <c r="K18" s="45"/>
      <c r="L18" s="45"/>
      <c r="M18" s="77"/>
      <c r="N18" s="65" t="s">
        <v>302</v>
      </c>
      <c r="O18" s="46" t="s">
        <v>26</v>
      </c>
      <c r="P18" s="43"/>
      <c r="Q18" s="47">
        <v>1</v>
      </c>
      <c r="R18" s="85">
        <f>ROUNDUP(Q18*0.75,2)</f>
        <v>0.75</v>
      </c>
    </row>
    <row r="19" spans="1:18" ht="24.95" customHeight="1" x14ac:dyDescent="0.15">
      <c r="A19" s="222"/>
      <c r="B19" s="65"/>
      <c r="C19" s="42"/>
      <c r="D19" s="43"/>
      <c r="E19" s="44"/>
      <c r="F19" s="45"/>
      <c r="G19" s="69"/>
      <c r="H19" s="73"/>
      <c r="I19" s="43"/>
      <c r="J19" s="45"/>
      <c r="K19" s="45"/>
      <c r="L19" s="45"/>
      <c r="M19" s="77"/>
      <c r="N19" s="65" t="s">
        <v>164</v>
      </c>
      <c r="O19" s="46" t="s">
        <v>103</v>
      </c>
      <c r="P19" s="43" t="s">
        <v>63</v>
      </c>
      <c r="Q19" s="47">
        <v>1</v>
      </c>
      <c r="R19" s="85">
        <f>ROUNDUP(Q19*0.75,2)</f>
        <v>0.75</v>
      </c>
    </row>
    <row r="20" spans="1:18" ht="24.95" customHeight="1" x14ac:dyDescent="0.15">
      <c r="A20" s="222"/>
      <c r="B20" s="66"/>
      <c r="C20" s="49"/>
      <c r="D20" s="50"/>
      <c r="E20" s="51"/>
      <c r="F20" s="52"/>
      <c r="G20" s="70"/>
      <c r="H20" s="74"/>
      <c r="I20" s="50"/>
      <c r="J20" s="52"/>
      <c r="K20" s="52"/>
      <c r="L20" s="52"/>
      <c r="M20" s="78"/>
      <c r="N20" s="66" t="s">
        <v>40</v>
      </c>
      <c r="O20" s="53"/>
      <c r="P20" s="50"/>
      <c r="Q20" s="54"/>
      <c r="R20" s="84"/>
    </row>
    <row r="21" spans="1:18" ht="24.95" customHeight="1" x14ac:dyDescent="0.15">
      <c r="A21" s="222"/>
      <c r="B21" s="65" t="s">
        <v>112</v>
      </c>
      <c r="C21" s="42" t="s">
        <v>165</v>
      </c>
      <c r="D21" s="43"/>
      <c r="E21" s="44">
        <v>20</v>
      </c>
      <c r="F21" s="45" t="s">
        <v>23</v>
      </c>
      <c r="G21" s="69"/>
      <c r="H21" s="73" t="s">
        <v>165</v>
      </c>
      <c r="I21" s="43"/>
      <c r="J21" s="45">
        <f>ROUNDUP(E21*0.75,2)</f>
        <v>15</v>
      </c>
      <c r="K21" s="45" t="s">
        <v>23</v>
      </c>
      <c r="L21" s="45"/>
      <c r="M21" s="77" t="e">
        <f>ROUND(#REF!+(#REF!*9/100),2)</f>
        <v>#REF!</v>
      </c>
      <c r="N21" s="65" t="s">
        <v>40</v>
      </c>
      <c r="O21" s="46" t="s">
        <v>73</v>
      </c>
      <c r="P21" s="43"/>
      <c r="Q21" s="47">
        <v>100</v>
      </c>
      <c r="R21" s="85">
        <f>ROUNDUP(Q21*0.75,2)</f>
        <v>75</v>
      </c>
    </row>
    <row r="22" spans="1:18" ht="24.95" customHeight="1" x14ac:dyDescent="0.15">
      <c r="A22" s="222"/>
      <c r="B22" s="65"/>
      <c r="C22" s="42" t="s">
        <v>69</v>
      </c>
      <c r="D22" s="43"/>
      <c r="E22" s="44">
        <v>5</v>
      </c>
      <c r="F22" s="45" t="s">
        <v>23</v>
      </c>
      <c r="G22" s="69"/>
      <c r="H22" s="73" t="s">
        <v>69</v>
      </c>
      <c r="I22" s="43"/>
      <c r="J22" s="45">
        <f>ROUNDUP(E22*0.75,2)</f>
        <v>3.75</v>
      </c>
      <c r="K22" s="45" t="s">
        <v>23</v>
      </c>
      <c r="L22" s="45"/>
      <c r="M22" s="77" t="e">
        <f>ROUND(#REF!+(#REF!*3/100),2)</f>
        <v>#REF!</v>
      </c>
      <c r="N22" s="65"/>
      <c r="O22" s="46" t="s">
        <v>57</v>
      </c>
      <c r="P22" s="43"/>
      <c r="Q22" s="47">
        <v>0.1</v>
      </c>
      <c r="R22" s="85">
        <f>ROUNDUP(Q22*0.75,2)</f>
        <v>0.08</v>
      </c>
    </row>
    <row r="23" spans="1:18" ht="24.95" customHeight="1" x14ac:dyDescent="0.15">
      <c r="A23" s="222"/>
      <c r="B23" s="65"/>
      <c r="C23" s="42"/>
      <c r="D23" s="43"/>
      <c r="E23" s="44"/>
      <c r="F23" s="45"/>
      <c r="G23" s="69"/>
      <c r="H23" s="73"/>
      <c r="I23" s="43"/>
      <c r="J23" s="45"/>
      <c r="K23" s="45"/>
      <c r="L23" s="45"/>
      <c r="M23" s="77"/>
      <c r="N23" s="65"/>
      <c r="O23" s="46" t="s">
        <v>114</v>
      </c>
      <c r="P23" s="43" t="s">
        <v>115</v>
      </c>
      <c r="Q23" s="47">
        <v>0.5</v>
      </c>
      <c r="R23" s="85">
        <f>ROUNDUP(Q23*0.75,2)</f>
        <v>0.38</v>
      </c>
    </row>
    <row r="24" spans="1:18" ht="24.95" customHeight="1" x14ac:dyDescent="0.15">
      <c r="A24" s="222"/>
      <c r="B24" s="66"/>
      <c r="C24" s="49"/>
      <c r="D24" s="50"/>
      <c r="E24" s="51"/>
      <c r="F24" s="52"/>
      <c r="G24" s="70"/>
      <c r="H24" s="74"/>
      <c r="I24" s="50"/>
      <c r="J24" s="52"/>
      <c r="K24" s="52"/>
      <c r="L24" s="52"/>
      <c r="M24" s="78"/>
      <c r="N24" s="66"/>
      <c r="O24" s="53"/>
      <c r="P24" s="50"/>
      <c r="Q24" s="54"/>
      <c r="R24" s="84"/>
    </row>
    <row r="25" spans="1:18" ht="24.95" customHeight="1" x14ac:dyDescent="0.15">
      <c r="A25" s="222"/>
      <c r="B25" s="65" t="s">
        <v>166</v>
      </c>
      <c r="C25" s="42" t="s">
        <v>83</v>
      </c>
      <c r="D25" s="43"/>
      <c r="E25" s="55">
        <v>0.125</v>
      </c>
      <c r="F25" s="45" t="s">
        <v>56</v>
      </c>
      <c r="G25" s="69"/>
      <c r="H25" s="73" t="s">
        <v>83</v>
      </c>
      <c r="I25" s="43"/>
      <c r="J25" s="45">
        <f>ROUNDUP(E25*0.75,2)</f>
        <v>9.9999999999999992E-2</v>
      </c>
      <c r="K25" s="45" t="s">
        <v>56</v>
      </c>
      <c r="L25" s="45"/>
      <c r="M25" s="77" t="e">
        <f>#REF!</f>
        <v>#REF!</v>
      </c>
      <c r="N25" s="65" t="s">
        <v>59</v>
      </c>
      <c r="O25" s="46"/>
      <c r="P25" s="43"/>
      <c r="Q25" s="47"/>
      <c r="R25" s="85"/>
    </row>
    <row r="26" spans="1:18" ht="24.95" customHeight="1" thickBot="1" x14ac:dyDescent="0.2">
      <c r="A26" s="223"/>
      <c r="B26" s="67"/>
      <c r="C26" s="57"/>
      <c r="D26" s="58"/>
      <c r="E26" s="59"/>
      <c r="F26" s="60"/>
      <c r="G26" s="71"/>
      <c r="H26" s="75"/>
      <c r="I26" s="58"/>
      <c r="J26" s="60"/>
      <c r="K26" s="60"/>
      <c r="L26" s="60"/>
      <c r="M26" s="79"/>
      <c r="N26" s="67"/>
      <c r="O26" s="61"/>
      <c r="P26" s="58"/>
      <c r="Q26" s="62"/>
      <c r="R26" s="86"/>
    </row>
  </sheetData>
  <mergeCells count="4">
    <mergeCell ref="H1:N1"/>
    <mergeCell ref="A2:R2"/>
    <mergeCell ref="A3:F3"/>
    <mergeCell ref="A5:A26"/>
  </mergeCells>
  <phoneticPr fontId="16"/>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1.375" style="27" bestFit="1" customWidth="1"/>
    <col min="4" max="4" width="17.125" style="26" customWidth="1"/>
    <col min="5" max="5" width="8.125" style="29" customWidth="1"/>
    <col min="6" max="6" width="4" style="30" customWidth="1"/>
    <col min="7" max="7" width="10.25" style="30" hidden="1" customWidth="1"/>
    <col min="8" max="8" width="18.87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168</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169</v>
      </c>
      <c r="C5" s="36" t="s">
        <v>101</v>
      </c>
      <c r="D5" s="37" t="s">
        <v>29</v>
      </c>
      <c r="E5" s="38">
        <v>40</v>
      </c>
      <c r="F5" s="39" t="s">
        <v>23</v>
      </c>
      <c r="G5" s="68" t="s">
        <v>102</v>
      </c>
      <c r="H5" s="72" t="s">
        <v>101</v>
      </c>
      <c r="I5" s="37" t="s">
        <v>29</v>
      </c>
      <c r="J5" s="39">
        <f>ROUNDUP(E5*0.75,2)</f>
        <v>30</v>
      </c>
      <c r="K5" s="39" t="s">
        <v>23</v>
      </c>
      <c r="L5" s="39" t="s">
        <v>102</v>
      </c>
      <c r="M5" s="76" t="e">
        <f>#REF!</f>
        <v>#REF!</v>
      </c>
      <c r="N5" s="64" t="s">
        <v>170</v>
      </c>
      <c r="O5" s="40" t="s">
        <v>103</v>
      </c>
      <c r="P5" s="37" t="s">
        <v>63</v>
      </c>
      <c r="Q5" s="41">
        <v>0.5</v>
      </c>
      <c r="R5" s="83">
        <f t="shared" ref="R5:R12" si="0">ROUNDUP(Q5*0.75,2)</f>
        <v>0.38</v>
      </c>
    </row>
    <row r="6" spans="1:19" ht="24.95" customHeight="1" x14ac:dyDescent="0.15">
      <c r="A6" s="222"/>
      <c r="B6" s="65"/>
      <c r="C6" s="42" t="s">
        <v>175</v>
      </c>
      <c r="D6" s="43"/>
      <c r="E6" s="44">
        <v>40</v>
      </c>
      <c r="F6" s="45" t="s">
        <v>23</v>
      </c>
      <c r="G6" s="69" t="s">
        <v>35</v>
      </c>
      <c r="H6" s="73" t="s">
        <v>175</v>
      </c>
      <c r="I6" s="43"/>
      <c r="J6" s="45">
        <f>ROUNDUP(E6*0.75,2)</f>
        <v>30</v>
      </c>
      <c r="K6" s="45" t="s">
        <v>23</v>
      </c>
      <c r="L6" s="45" t="s">
        <v>35</v>
      </c>
      <c r="M6" s="77" t="e">
        <f>#REF!</f>
        <v>#REF!</v>
      </c>
      <c r="N6" s="65" t="s">
        <v>171</v>
      </c>
      <c r="O6" s="46" t="s">
        <v>47</v>
      </c>
      <c r="P6" s="43"/>
      <c r="Q6" s="47">
        <v>2</v>
      </c>
      <c r="R6" s="85">
        <f t="shared" si="0"/>
        <v>1.5</v>
      </c>
    </row>
    <row r="7" spans="1:19" ht="24.95" customHeight="1" x14ac:dyDescent="0.15">
      <c r="A7" s="222"/>
      <c r="B7" s="65"/>
      <c r="C7" s="42" t="s">
        <v>44</v>
      </c>
      <c r="D7" s="43"/>
      <c r="E7" s="44">
        <v>30</v>
      </c>
      <c r="F7" s="45" t="s">
        <v>23</v>
      </c>
      <c r="G7" s="69"/>
      <c r="H7" s="73" t="s">
        <v>44</v>
      </c>
      <c r="I7" s="43"/>
      <c r="J7" s="45">
        <f>ROUNDUP(E7*0.75,2)</f>
        <v>22.5</v>
      </c>
      <c r="K7" s="45" t="s">
        <v>23</v>
      </c>
      <c r="L7" s="45"/>
      <c r="M7" s="77" t="e">
        <f>ROUND(#REF!+(#REF!*6/100),2)</f>
        <v>#REF!</v>
      </c>
      <c r="N7" s="65" t="s">
        <v>172</v>
      </c>
      <c r="O7" s="46" t="s">
        <v>68</v>
      </c>
      <c r="P7" s="43" t="s">
        <v>29</v>
      </c>
      <c r="Q7" s="47">
        <v>2</v>
      </c>
      <c r="R7" s="85">
        <f t="shared" si="0"/>
        <v>1.5</v>
      </c>
    </row>
    <row r="8" spans="1:19" ht="24.95" customHeight="1" x14ac:dyDescent="0.15">
      <c r="A8" s="222"/>
      <c r="B8" s="65"/>
      <c r="C8" s="42" t="s">
        <v>69</v>
      </c>
      <c r="D8" s="43"/>
      <c r="E8" s="44">
        <v>10</v>
      </c>
      <c r="F8" s="45" t="s">
        <v>23</v>
      </c>
      <c r="G8" s="69"/>
      <c r="H8" s="73" t="s">
        <v>69</v>
      </c>
      <c r="I8" s="43"/>
      <c r="J8" s="45">
        <f>ROUNDUP(E8*0.75,2)</f>
        <v>7.5</v>
      </c>
      <c r="K8" s="45" t="s">
        <v>23</v>
      </c>
      <c r="L8" s="45"/>
      <c r="M8" s="77" t="e">
        <f>ROUND(#REF!+(#REF!*3/100),2)</f>
        <v>#REF!</v>
      </c>
      <c r="N8" s="65" t="s">
        <v>173</v>
      </c>
      <c r="O8" s="46" t="s">
        <v>73</v>
      </c>
      <c r="P8" s="43"/>
      <c r="Q8" s="47">
        <v>30</v>
      </c>
      <c r="R8" s="85">
        <f t="shared" si="0"/>
        <v>22.5</v>
      </c>
    </row>
    <row r="9" spans="1:19" ht="24.95" customHeight="1" x14ac:dyDescent="0.15">
      <c r="A9" s="222"/>
      <c r="B9" s="65"/>
      <c r="C9" s="42" t="s">
        <v>107</v>
      </c>
      <c r="D9" s="43"/>
      <c r="E9" s="44">
        <v>5</v>
      </c>
      <c r="F9" s="45" t="s">
        <v>23</v>
      </c>
      <c r="G9" s="69" t="s">
        <v>31</v>
      </c>
      <c r="H9" s="73" t="s">
        <v>107</v>
      </c>
      <c r="I9" s="43"/>
      <c r="J9" s="45">
        <f>ROUNDUP(E9*0.75,2)</f>
        <v>3.75</v>
      </c>
      <c r="K9" s="45" t="s">
        <v>23</v>
      </c>
      <c r="L9" s="45" t="s">
        <v>31</v>
      </c>
      <c r="M9" s="77" t="e">
        <f>#REF!</f>
        <v>#REF!</v>
      </c>
      <c r="N9" s="65" t="s">
        <v>174</v>
      </c>
      <c r="O9" s="46" t="s">
        <v>27</v>
      </c>
      <c r="P9" s="43"/>
      <c r="Q9" s="47">
        <v>1</v>
      </c>
      <c r="R9" s="85">
        <f t="shared" si="0"/>
        <v>0.75</v>
      </c>
    </row>
    <row r="10" spans="1:19" ht="24.95" customHeight="1" x14ac:dyDescent="0.15">
      <c r="A10" s="222"/>
      <c r="B10" s="65"/>
      <c r="C10" s="42"/>
      <c r="D10" s="43"/>
      <c r="E10" s="44"/>
      <c r="F10" s="45"/>
      <c r="G10" s="69"/>
      <c r="H10" s="73"/>
      <c r="I10" s="43"/>
      <c r="J10" s="45"/>
      <c r="K10" s="45"/>
      <c r="L10" s="45"/>
      <c r="M10" s="77"/>
      <c r="N10" s="65" t="s">
        <v>40</v>
      </c>
      <c r="O10" s="46" t="s">
        <v>105</v>
      </c>
      <c r="P10" s="43"/>
      <c r="Q10" s="47">
        <v>15</v>
      </c>
      <c r="R10" s="85">
        <f t="shared" si="0"/>
        <v>11.25</v>
      </c>
    </row>
    <row r="11" spans="1:19" ht="24.95" customHeight="1" x14ac:dyDescent="0.15">
      <c r="A11" s="222"/>
      <c r="B11" s="65"/>
      <c r="C11" s="42"/>
      <c r="D11" s="43"/>
      <c r="E11" s="44"/>
      <c r="F11" s="45"/>
      <c r="G11" s="69"/>
      <c r="H11" s="73"/>
      <c r="I11" s="43"/>
      <c r="J11" s="45"/>
      <c r="K11" s="45"/>
      <c r="L11" s="45"/>
      <c r="M11" s="77"/>
      <c r="N11" s="65"/>
      <c r="O11" s="46" t="s">
        <v>106</v>
      </c>
      <c r="P11" s="43"/>
      <c r="Q11" s="47">
        <v>2</v>
      </c>
      <c r="R11" s="85">
        <f t="shared" si="0"/>
        <v>1.5</v>
      </c>
    </row>
    <row r="12" spans="1:19" ht="24.95" customHeight="1" x14ac:dyDescent="0.15">
      <c r="A12" s="222"/>
      <c r="B12" s="65"/>
      <c r="C12" s="42"/>
      <c r="D12" s="43"/>
      <c r="E12" s="44"/>
      <c r="F12" s="45"/>
      <c r="G12" s="69"/>
      <c r="H12" s="73"/>
      <c r="I12" s="43"/>
      <c r="J12" s="45"/>
      <c r="K12" s="45"/>
      <c r="L12" s="45"/>
      <c r="M12" s="77"/>
      <c r="N12" s="65"/>
      <c r="O12" s="46" t="s">
        <v>26</v>
      </c>
      <c r="P12" s="43"/>
      <c r="Q12" s="47">
        <v>0.5</v>
      </c>
      <c r="R12" s="85">
        <f t="shared" si="0"/>
        <v>0.38</v>
      </c>
    </row>
    <row r="13" spans="1:19" ht="24.95" customHeight="1" x14ac:dyDescent="0.15">
      <c r="A13" s="222"/>
      <c r="B13" s="66"/>
      <c r="C13" s="49"/>
      <c r="D13" s="50"/>
      <c r="E13" s="51"/>
      <c r="F13" s="52"/>
      <c r="G13" s="70"/>
      <c r="H13" s="74"/>
      <c r="I13" s="50"/>
      <c r="J13" s="52"/>
      <c r="K13" s="52"/>
      <c r="L13" s="52"/>
      <c r="M13" s="78"/>
      <c r="N13" s="66"/>
      <c r="O13" s="53"/>
      <c r="P13" s="50"/>
      <c r="Q13" s="54"/>
      <c r="R13" s="84"/>
    </row>
    <row r="14" spans="1:19" ht="24.95" customHeight="1" x14ac:dyDescent="0.15">
      <c r="A14" s="222"/>
      <c r="B14" s="65" t="s">
        <v>176</v>
      </c>
      <c r="C14" s="42" t="s">
        <v>53</v>
      </c>
      <c r="D14" s="43"/>
      <c r="E14" s="44">
        <v>20</v>
      </c>
      <c r="F14" s="45" t="s">
        <v>23</v>
      </c>
      <c r="G14" s="69"/>
      <c r="H14" s="73" t="s">
        <v>53</v>
      </c>
      <c r="I14" s="43"/>
      <c r="J14" s="45">
        <f>ROUNDUP(E14*0.75,2)</f>
        <v>15</v>
      </c>
      <c r="K14" s="45" t="s">
        <v>23</v>
      </c>
      <c r="L14" s="45"/>
      <c r="M14" s="77" t="e">
        <f>ROUND(#REF!+(#REF!*10/100),2)</f>
        <v>#REF!</v>
      </c>
      <c r="N14" s="65" t="s">
        <v>272</v>
      </c>
      <c r="O14" s="46" t="s">
        <v>26</v>
      </c>
      <c r="P14" s="43"/>
      <c r="Q14" s="47">
        <v>0.3</v>
      </c>
      <c r="R14" s="85">
        <f>ROUNDUP(Q14*0.75,2)</f>
        <v>0.23</v>
      </c>
    </row>
    <row r="15" spans="1:19" ht="24.95" customHeight="1" x14ac:dyDescent="0.15">
      <c r="A15" s="222"/>
      <c r="B15" s="65"/>
      <c r="C15" s="42" t="s">
        <v>177</v>
      </c>
      <c r="D15" s="43"/>
      <c r="E15" s="44">
        <v>10</v>
      </c>
      <c r="F15" s="45" t="s">
        <v>23</v>
      </c>
      <c r="G15" s="69"/>
      <c r="H15" s="73" t="s">
        <v>177</v>
      </c>
      <c r="I15" s="43"/>
      <c r="J15" s="45">
        <f>ROUNDUP(E15*0.75,2)</f>
        <v>7.5</v>
      </c>
      <c r="K15" s="45" t="s">
        <v>23</v>
      </c>
      <c r="L15" s="45"/>
      <c r="M15" s="77" t="e">
        <f>ROUND(#REF!+(#REF!*50/100),2)</f>
        <v>#REF!</v>
      </c>
      <c r="N15" s="65" t="s">
        <v>273</v>
      </c>
      <c r="O15" s="46" t="s">
        <v>57</v>
      </c>
      <c r="P15" s="43"/>
      <c r="Q15" s="47">
        <v>0.1</v>
      </c>
      <c r="R15" s="85">
        <f>ROUNDUP(Q15*0.75,2)</f>
        <v>0.08</v>
      </c>
    </row>
    <row r="16" spans="1:19" ht="24.95" customHeight="1" x14ac:dyDescent="0.15">
      <c r="A16" s="222"/>
      <c r="B16" s="65"/>
      <c r="C16" s="42" t="s">
        <v>129</v>
      </c>
      <c r="D16" s="43"/>
      <c r="E16" s="44">
        <v>10</v>
      </c>
      <c r="F16" s="45" t="s">
        <v>23</v>
      </c>
      <c r="G16" s="69" t="s">
        <v>130</v>
      </c>
      <c r="H16" s="73" t="s">
        <v>129</v>
      </c>
      <c r="I16" s="43"/>
      <c r="J16" s="45">
        <f>ROUNDUP(E16*0.75,2)</f>
        <v>7.5</v>
      </c>
      <c r="K16" s="45" t="s">
        <v>23</v>
      </c>
      <c r="L16" s="45" t="s">
        <v>130</v>
      </c>
      <c r="M16" s="77" t="e">
        <f>#REF!</f>
        <v>#REF!</v>
      </c>
      <c r="N16" s="65" t="s">
        <v>128</v>
      </c>
      <c r="O16" s="46" t="s">
        <v>91</v>
      </c>
      <c r="P16" s="43" t="s">
        <v>92</v>
      </c>
      <c r="Q16" s="47">
        <v>4</v>
      </c>
      <c r="R16" s="85">
        <f>ROUNDUP(Q16*0.75,2)</f>
        <v>3</v>
      </c>
    </row>
    <row r="17" spans="1:18" ht="24.95" customHeight="1" x14ac:dyDescent="0.15">
      <c r="A17" s="222"/>
      <c r="B17" s="65"/>
      <c r="C17" s="42" t="s">
        <v>54</v>
      </c>
      <c r="D17" s="43" t="s">
        <v>55</v>
      </c>
      <c r="E17" s="63">
        <v>0.5</v>
      </c>
      <c r="F17" s="45" t="s">
        <v>56</v>
      </c>
      <c r="G17" s="69"/>
      <c r="H17" s="73" t="s">
        <v>54</v>
      </c>
      <c r="I17" s="43" t="s">
        <v>55</v>
      </c>
      <c r="J17" s="45">
        <f>ROUNDUP(E17*0.75,2)</f>
        <v>0.38</v>
      </c>
      <c r="K17" s="45" t="s">
        <v>56</v>
      </c>
      <c r="L17" s="45"/>
      <c r="M17" s="77" t="e">
        <f>#REF!</f>
        <v>#REF!</v>
      </c>
      <c r="N17" s="65" t="s">
        <v>40</v>
      </c>
      <c r="O17" s="46"/>
      <c r="P17" s="43"/>
      <c r="Q17" s="47"/>
      <c r="R17" s="85"/>
    </row>
    <row r="18" spans="1:18" ht="24.95" customHeight="1" x14ac:dyDescent="0.15">
      <c r="A18" s="222"/>
      <c r="B18" s="66"/>
      <c r="C18" s="49"/>
      <c r="D18" s="50"/>
      <c r="E18" s="51"/>
      <c r="F18" s="52"/>
      <c r="G18" s="70"/>
      <c r="H18" s="74"/>
      <c r="I18" s="50"/>
      <c r="J18" s="52"/>
      <c r="K18" s="52"/>
      <c r="L18" s="52"/>
      <c r="M18" s="78"/>
      <c r="N18" s="66"/>
      <c r="O18" s="53"/>
      <c r="P18" s="50"/>
      <c r="Q18" s="54"/>
      <c r="R18" s="84"/>
    </row>
    <row r="19" spans="1:18" ht="24.95" customHeight="1" x14ac:dyDescent="0.15">
      <c r="A19" s="222"/>
      <c r="B19" s="65" t="s">
        <v>112</v>
      </c>
      <c r="C19" s="42" t="s">
        <v>50</v>
      </c>
      <c r="D19" s="43"/>
      <c r="E19" s="44">
        <v>20</v>
      </c>
      <c r="F19" s="45" t="s">
        <v>23</v>
      </c>
      <c r="G19" s="69"/>
      <c r="H19" s="73" t="s">
        <v>50</v>
      </c>
      <c r="I19" s="43"/>
      <c r="J19" s="45">
        <f>ROUNDUP(E19*0.75,2)</f>
        <v>15</v>
      </c>
      <c r="K19" s="45" t="s">
        <v>23</v>
      </c>
      <c r="L19" s="45"/>
      <c r="M19" s="77" t="e">
        <f>ROUND(#REF!+(#REF!*15/100),2)</f>
        <v>#REF!</v>
      </c>
      <c r="N19" s="65" t="s">
        <v>40</v>
      </c>
      <c r="O19" s="46" t="s">
        <v>73</v>
      </c>
      <c r="P19" s="43"/>
      <c r="Q19" s="47">
        <v>100</v>
      </c>
      <c r="R19" s="85">
        <f>ROUNDUP(Q19*0.75,2)</f>
        <v>75</v>
      </c>
    </row>
    <row r="20" spans="1:18" ht="24.95" customHeight="1" x14ac:dyDescent="0.15">
      <c r="A20" s="222"/>
      <c r="B20" s="65"/>
      <c r="C20" s="42" t="s">
        <v>87</v>
      </c>
      <c r="D20" s="43"/>
      <c r="E20" s="44">
        <v>5</v>
      </c>
      <c r="F20" s="45" t="s">
        <v>23</v>
      </c>
      <c r="G20" s="69" t="s">
        <v>88</v>
      </c>
      <c r="H20" s="73" t="s">
        <v>87</v>
      </c>
      <c r="I20" s="43"/>
      <c r="J20" s="45">
        <f>ROUNDUP(E20*0.75,2)</f>
        <v>3.75</v>
      </c>
      <c r="K20" s="45" t="s">
        <v>23</v>
      </c>
      <c r="L20" s="45" t="s">
        <v>88</v>
      </c>
      <c r="M20" s="77" t="e">
        <f>#REF!</f>
        <v>#REF!</v>
      </c>
      <c r="N20" s="65"/>
      <c r="O20" s="46" t="s">
        <v>57</v>
      </c>
      <c r="P20" s="43"/>
      <c r="Q20" s="47">
        <v>0.1</v>
      </c>
      <c r="R20" s="85">
        <f>ROUNDUP(Q20*0.75,2)</f>
        <v>0.08</v>
      </c>
    </row>
    <row r="21" spans="1:18" ht="24.95" customHeight="1" x14ac:dyDescent="0.15">
      <c r="A21" s="222"/>
      <c r="B21" s="65"/>
      <c r="C21" s="42"/>
      <c r="D21" s="43"/>
      <c r="E21" s="44"/>
      <c r="F21" s="45"/>
      <c r="G21" s="69"/>
      <c r="H21" s="73"/>
      <c r="I21" s="43"/>
      <c r="J21" s="45"/>
      <c r="K21" s="45"/>
      <c r="L21" s="45"/>
      <c r="M21" s="77"/>
      <c r="N21" s="65"/>
      <c r="O21" s="46" t="s">
        <v>114</v>
      </c>
      <c r="P21" s="43" t="s">
        <v>115</v>
      </c>
      <c r="Q21" s="47">
        <v>0.5</v>
      </c>
      <c r="R21" s="85">
        <f>ROUNDUP(Q21*0.75,2)</f>
        <v>0.38</v>
      </c>
    </row>
    <row r="22" spans="1:18" ht="24.95" customHeight="1" thickBot="1" x14ac:dyDescent="0.2">
      <c r="A22" s="223"/>
      <c r="B22" s="67"/>
      <c r="C22" s="57"/>
      <c r="D22" s="58"/>
      <c r="E22" s="59"/>
      <c r="F22" s="60"/>
      <c r="G22" s="71"/>
      <c r="H22" s="75"/>
      <c r="I22" s="58"/>
      <c r="J22" s="60"/>
      <c r="K22" s="60"/>
      <c r="L22" s="60"/>
      <c r="M22" s="79"/>
      <c r="N22" s="67"/>
      <c r="O22" s="61"/>
      <c r="P22" s="58"/>
      <c r="Q22" s="62"/>
      <c r="R22" s="86"/>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3.5" style="27" bestFit="1" customWidth="1"/>
    <col min="4" max="4" width="17.125" style="26" customWidth="1"/>
    <col min="5" max="5" width="8.125" style="29" customWidth="1"/>
    <col min="6" max="6" width="4" style="30" customWidth="1"/>
    <col min="7" max="7" width="10.25" style="30" hidden="1" customWidth="1"/>
    <col min="8" max="8" width="22"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1.125" style="27" bestFit="1"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179</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180</v>
      </c>
      <c r="C5" s="36" t="s">
        <v>84</v>
      </c>
      <c r="D5" s="37" t="s">
        <v>181</v>
      </c>
      <c r="E5" s="80">
        <v>0.5</v>
      </c>
      <c r="F5" s="39" t="s">
        <v>33</v>
      </c>
      <c r="G5" s="68" t="s">
        <v>22</v>
      </c>
      <c r="H5" s="72" t="s">
        <v>84</v>
      </c>
      <c r="I5" s="37" t="s">
        <v>85</v>
      </c>
      <c r="J5" s="39">
        <f>ROUNDUP(E5*0.75,2)</f>
        <v>0.38</v>
      </c>
      <c r="K5" s="39" t="s">
        <v>33</v>
      </c>
      <c r="L5" s="39" t="s">
        <v>22</v>
      </c>
      <c r="M5" s="76" t="e">
        <f>#REF!</f>
        <v>#REF!</v>
      </c>
      <c r="N5" s="64"/>
      <c r="O5" s="40" t="s">
        <v>20</v>
      </c>
      <c r="P5" s="37"/>
      <c r="Q5" s="41">
        <v>110</v>
      </c>
      <c r="R5" s="83">
        <f>ROUNDUP(Q5*0.75,2)</f>
        <v>82.5</v>
      </c>
    </row>
    <row r="6" spans="1:19" ht="24.95" customHeight="1" x14ac:dyDescent="0.15">
      <c r="A6" s="222"/>
      <c r="B6" s="66"/>
      <c r="C6" s="49"/>
      <c r="D6" s="50"/>
      <c r="E6" s="51"/>
      <c r="F6" s="52"/>
      <c r="G6" s="70"/>
      <c r="H6" s="74"/>
      <c r="I6" s="50"/>
      <c r="J6" s="52"/>
      <c r="K6" s="52"/>
      <c r="L6" s="52"/>
      <c r="M6" s="78"/>
      <c r="N6" s="66"/>
      <c r="O6" s="53"/>
      <c r="P6" s="50"/>
      <c r="Q6" s="54"/>
      <c r="R6" s="84"/>
    </row>
    <row r="7" spans="1:19" ht="24.95" customHeight="1" x14ac:dyDescent="0.15">
      <c r="A7" s="222"/>
      <c r="B7" s="65" t="s">
        <v>182</v>
      </c>
      <c r="C7" s="42" t="s">
        <v>117</v>
      </c>
      <c r="D7" s="43"/>
      <c r="E7" s="44">
        <v>1</v>
      </c>
      <c r="F7" s="45" t="s">
        <v>72</v>
      </c>
      <c r="G7" s="69" t="s">
        <v>118</v>
      </c>
      <c r="H7" s="73" t="s">
        <v>117</v>
      </c>
      <c r="I7" s="43"/>
      <c r="J7" s="45">
        <f>ROUNDUP(E7*0.75,2)</f>
        <v>0.75</v>
      </c>
      <c r="K7" s="45" t="s">
        <v>72</v>
      </c>
      <c r="L7" s="45" t="s">
        <v>118</v>
      </c>
      <c r="M7" s="77" t="e">
        <f>#REF!</f>
        <v>#REF!</v>
      </c>
      <c r="N7" s="65" t="s">
        <v>183</v>
      </c>
      <c r="O7" s="46" t="s">
        <v>49</v>
      </c>
      <c r="P7" s="43"/>
      <c r="Q7" s="47">
        <v>2</v>
      </c>
      <c r="R7" s="85">
        <f>ROUNDUP(Q7*0.75,2)</f>
        <v>1.5</v>
      </c>
    </row>
    <row r="8" spans="1:19" ht="24.95" customHeight="1" x14ac:dyDescent="0.15">
      <c r="A8" s="222"/>
      <c r="B8" s="65"/>
      <c r="C8" s="42" t="s">
        <v>185</v>
      </c>
      <c r="D8" s="43"/>
      <c r="E8" s="44">
        <v>0.5</v>
      </c>
      <c r="F8" s="45" t="s">
        <v>23</v>
      </c>
      <c r="G8" s="69"/>
      <c r="H8" s="73" t="s">
        <v>185</v>
      </c>
      <c r="I8" s="43"/>
      <c r="J8" s="45">
        <f>ROUNDUP(E8*0.75,2)</f>
        <v>0.38</v>
      </c>
      <c r="K8" s="45" t="s">
        <v>23</v>
      </c>
      <c r="L8" s="45"/>
      <c r="M8" s="77" t="e">
        <f>ROUND(#REF!+(#REF!*20/100),2)</f>
        <v>#REF!</v>
      </c>
      <c r="N8" s="65" t="s">
        <v>184</v>
      </c>
      <c r="O8" s="46" t="s">
        <v>28</v>
      </c>
      <c r="P8" s="43" t="s">
        <v>29</v>
      </c>
      <c r="Q8" s="47">
        <v>2</v>
      </c>
      <c r="R8" s="85">
        <f>ROUNDUP(Q8*0.75,2)</f>
        <v>1.5</v>
      </c>
    </row>
    <row r="9" spans="1:19" ht="24.95" customHeight="1" x14ac:dyDescent="0.15">
      <c r="A9" s="222"/>
      <c r="B9" s="65"/>
      <c r="C9" s="42" t="s">
        <v>65</v>
      </c>
      <c r="D9" s="43"/>
      <c r="E9" s="44">
        <v>20</v>
      </c>
      <c r="F9" s="45" t="s">
        <v>23</v>
      </c>
      <c r="G9" s="69"/>
      <c r="H9" s="73" t="s">
        <v>65</v>
      </c>
      <c r="I9" s="43"/>
      <c r="J9" s="45">
        <f>ROUNDUP(E9*0.75,2)</f>
        <v>15</v>
      </c>
      <c r="K9" s="45" t="s">
        <v>23</v>
      </c>
      <c r="L9" s="45"/>
      <c r="M9" s="77" t="e">
        <f>ROUND(#REF!+(#REF!*10/100),2)</f>
        <v>#REF!</v>
      </c>
      <c r="N9" s="65" t="s">
        <v>274</v>
      </c>
      <c r="O9" s="46" t="s">
        <v>67</v>
      </c>
      <c r="P9" s="43"/>
      <c r="Q9" s="47">
        <v>3</v>
      </c>
      <c r="R9" s="85">
        <f>ROUNDUP(Q9*0.75,2)</f>
        <v>2.25</v>
      </c>
    </row>
    <row r="10" spans="1:19" ht="24.95" customHeight="1" x14ac:dyDescent="0.15">
      <c r="A10" s="222"/>
      <c r="B10" s="65"/>
      <c r="C10" s="42" t="s">
        <v>152</v>
      </c>
      <c r="D10" s="43"/>
      <c r="E10" s="44">
        <v>0.5</v>
      </c>
      <c r="F10" s="45" t="s">
        <v>23</v>
      </c>
      <c r="G10" s="69" t="s">
        <v>35</v>
      </c>
      <c r="H10" s="73" t="s">
        <v>152</v>
      </c>
      <c r="I10" s="43"/>
      <c r="J10" s="45">
        <f>ROUNDUP(E10*0.75,2)</f>
        <v>0.38</v>
      </c>
      <c r="K10" s="45" t="s">
        <v>23</v>
      </c>
      <c r="L10" s="45" t="s">
        <v>35</v>
      </c>
      <c r="M10" s="77" t="e">
        <f>#REF!</f>
        <v>#REF!</v>
      </c>
      <c r="N10" s="65" t="s">
        <v>275</v>
      </c>
      <c r="O10" s="46" t="s">
        <v>47</v>
      </c>
      <c r="P10" s="43"/>
      <c r="Q10" s="47">
        <v>3</v>
      </c>
      <c r="R10" s="85">
        <f>ROUNDUP(Q10*0.75,2)</f>
        <v>2.25</v>
      </c>
    </row>
    <row r="11" spans="1:19" ht="24.95" customHeight="1" x14ac:dyDescent="0.15">
      <c r="A11" s="222"/>
      <c r="B11" s="65"/>
      <c r="C11" s="42"/>
      <c r="D11" s="43"/>
      <c r="E11" s="44"/>
      <c r="F11" s="45"/>
      <c r="G11" s="69"/>
      <c r="H11" s="73"/>
      <c r="I11" s="43"/>
      <c r="J11" s="45"/>
      <c r="K11" s="45"/>
      <c r="L11" s="45"/>
      <c r="M11" s="77"/>
      <c r="N11" s="65" t="s">
        <v>40</v>
      </c>
      <c r="O11" s="46" t="s">
        <v>57</v>
      </c>
      <c r="P11" s="43"/>
      <c r="Q11" s="47">
        <v>0.1</v>
      </c>
      <c r="R11" s="85">
        <f>ROUNDUP(Q11*0.75,2)</f>
        <v>0.08</v>
      </c>
    </row>
    <row r="12" spans="1:19" ht="24.95" customHeight="1" x14ac:dyDescent="0.15">
      <c r="A12" s="222"/>
      <c r="B12" s="66"/>
      <c r="C12" s="49"/>
      <c r="D12" s="50"/>
      <c r="E12" s="51"/>
      <c r="F12" s="52"/>
      <c r="G12" s="70"/>
      <c r="H12" s="74"/>
      <c r="I12" s="50"/>
      <c r="J12" s="52"/>
      <c r="K12" s="52"/>
      <c r="L12" s="52"/>
      <c r="M12" s="78"/>
      <c r="N12" s="66"/>
      <c r="O12" s="53"/>
      <c r="P12" s="50"/>
      <c r="Q12" s="54"/>
      <c r="R12" s="84"/>
    </row>
    <row r="13" spans="1:19" ht="24.95" customHeight="1" x14ac:dyDescent="0.15">
      <c r="A13" s="222"/>
      <c r="B13" s="65" t="s">
        <v>186</v>
      </c>
      <c r="C13" s="42" t="s">
        <v>188</v>
      </c>
      <c r="D13" s="43"/>
      <c r="E13" s="44">
        <v>20</v>
      </c>
      <c r="F13" s="45" t="s">
        <v>23</v>
      </c>
      <c r="G13" s="69"/>
      <c r="H13" s="73" t="s">
        <v>188</v>
      </c>
      <c r="I13" s="43"/>
      <c r="J13" s="45">
        <f>ROUNDUP(E13*0.75,2)</f>
        <v>15</v>
      </c>
      <c r="K13" s="45" t="s">
        <v>23</v>
      </c>
      <c r="L13" s="45"/>
      <c r="M13" s="77" t="e">
        <f>ROUND(#REF!+(#REF!*3/100),2)</f>
        <v>#REF!</v>
      </c>
      <c r="N13" s="65" t="s">
        <v>187</v>
      </c>
      <c r="O13" s="46" t="s">
        <v>28</v>
      </c>
      <c r="P13" s="43" t="s">
        <v>29</v>
      </c>
      <c r="Q13" s="47">
        <v>0.5</v>
      </c>
      <c r="R13" s="85">
        <f>ROUNDUP(Q13*0.75,2)</f>
        <v>0.38</v>
      </c>
    </row>
    <row r="14" spans="1:19" ht="24.95" customHeight="1" x14ac:dyDescent="0.15">
      <c r="A14" s="222"/>
      <c r="B14" s="65"/>
      <c r="C14" s="42" t="s">
        <v>69</v>
      </c>
      <c r="D14" s="43"/>
      <c r="E14" s="44">
        <v>20</v>
      </c>
      <c r="F14" s="45" t="s">
        <v>23</v>
      </c>
      <c r="G14" s="69"/>
      <c r="H14" s="73" t="s">
        <v>69</v>
      </c>
      <c r="I14" s="43"/>
      <c r="J14" s="45">
        <f>ROUNDUP(E14*0.75,2)</f>
        <v>15</v>
      </c>
      <c r="K14" s="45" t="s">
        <v>23</v>
      </c>
      <c r="L14" s="45"/>
      <c r="M14" s="77" t="e">
        <f>ROUND(#REF!+(#REF!*3/100),2)</f>
        <v>#REF!</v>
      </c>
      <c r="N14" s="65" t="s">
        <v>134</v>
      </c>
      <c r="O14" s="46" t="s">
        <v>26</v>
      </c>
      <c r="P14" s="43"/>
      <c r="Q14" s="47">
        <v>1</v>
      </c>
      <c r="R14" s="85">
        <f>ROUNDUP(Q14*0.75,2)</f>
        <v>0.75</v>
      </c>
    </row>
    <row r="15" spans="1:19" ht="24.95" customHeight="1" x14ac:dyDescent="0.15">
      <c r="A15" s="222"/>
      <c r="B15" s="65"/>
      <c r="C15" s="42"/>
      <c r="D15" s="43"/>
      <c r="E15" s="44"/>
      <c r="F15" s="45"/>
      <c r="G15" s="69"/>
      <c r="H15" s="73"/>
      <c r="I15" s="43"/>
      <c r="J15" s="45"/>
      <c r="K15" s="45"/>
      <c r="L15" s="45"/>
      <c r="M15" s="77"/>
      <c r="N15" s="65" t="s">
        <v>40</v>
      </c>
      <c r="O15" s="46" t="s">
        <v>124</v>
      </c>
      <c r="P15" s="43"/>
      <c r="Q15" s="47">
        <v>2</v>
      </c>
      <c r="R15" s="85">
        <f>ROUNDUP(Q15*0.75,2)</f>
        <v>1.5</v>
      </c>
    </row>
    <row r="16" spans="1:19" ht="24.95" customHeight="1" x14ac:dyDescent="0.15">
      <c r="A16" s="222"/>
      <c r="B16" s="65"/>
      <c r="C16" s="42"/>
      <c r="D16" s="43"/>
      <c r="E16" s="44"/>
      <c r="F16" s="45"/>
      <c r="G16" s="69"/>
      <c r="H16" s="73"/>
      <c r="I16" s="43"/>
      <c r="J16" s="45"/>
      <c r="K16" s="45"/>
      <c r="L16" s="45"/>
      <c r="M16" s="77"/>
      <c r="N16" s="65"/>
      <c r="O16" s="46" t="s">
        <v>111</v>
      </c>
      <c r="P16" s="43"/>
      <c r="Q16" s="47">
        <v>2</v>
      </c>
      <c r="R16" s="85">
        <f>ROUNDUP(Q16*0.75,2)</f>
        <v>1.5</v>
      </c>
    </row>
    <row r="17" spans="1:18" ht="24.95" customHeight="1" x14ac:dyDescent="0.15">
      <c r="A17" s="222"/>
      <c r="B17" s="66"/>
      <c r="C17" s="49"/>
      <c r="D17" s="50"/>
      <c r="E17" s="51"/>
      <c r="F17" s="52"/>
      <c r="G17" s="70"/>
      <c r="H17" s="74"/>
      <c r="I17" s="50"/>
      <c r="J17" s="52"/>
      <c r="K17" s="52"/>
      <c r="L17" s="52"/>
      <c r="M17" s="78"/>
      <c r="N17" s="66"/>
      <c r="O17" s="53"/>
      <c r="P17" s="50"/>
      <c r="Q17" s="54"/>
      <c r="R17" s="84"/>
    </row>
    <row r="18" spans="1:18" ht="24.95" customHeight="1" x14ac:dyDescent="0.15">
      <c r="A18" s="222"/>
      <c r="B18" s="65" t="s">
        <v>80</v>
      </c>
      <c r="C18" s="42" t="s">
        <v>93</v>
      </c>
      <c r="D18" s="43"/>
      <c r="E18" s="44">
        <v>0.5</v>
      </c>
      <c r="F18" s="45" t="s">
        <v>23</v>
      </c>
      <c r="G18" s="69" t="s">
        <v>94</v>
      </c>
      <c r="H18" s="73" t="s">
        <v>93</v>
      </c>
      <c r="I18" s="43"/>
      <c r="J18" s="45">
        <f>ROUNDUP(E18*0.75,2)</f>
        <v>0.38</v>
      </c>
      <c r="K18" s="45" t="s">
        <v>23</v>
      </c>
      <c r="L18" s="45" t="s">
        <v>94</v>
      </c>
      <c r="M18" s="77" t="e">
        <f>#REF!</f>
        <v>#REF!</v>
      </c>
      <c r="N18" s="65" t="s">
        <v>40</v>
      </c>
      <c r="O18" s="46" t="s">
        <v>25</v>
      </c>
      <c r="P18" s="43"/>
      <c r="Q18" s="47">
        <v>100</v>
      </c>
      <c r="R18" s="85">
        <f>ROUNDUP(Q18*0.75,2)</f>
        <v>75</v>
      </c>
    </row>
    <row r="19" spans="1:18" ht="24.95" customHeight="1" x14ac:dyDescent="0.15">
      <c r="A19" s="222"/>
      <c r="B19" s="65"/>
      <c r="C19" s="42" t="s">
        <v>135</v>
      </c>
      <c r="D19" s="43" t="s">
        <v>29</v>
      </c>
      <c r="E19" s="44">
        <v>2</v>
      </c>
      <c r="F19" s="45" t="s">
        <v>56</v>
      </c>
      <c r="G19" s="69" t="s">
        <v>31</v>
      </c>
      <c r="H19" s="73" t="s">
        <v>135</v>
      </c>
      <c r="I19" s="43" t="s">
        <v>29</v>
      </c>
      <c r="J19" s="45">
        <f>ROUNDUP(E19*0.75,2)</f>
        <v>1.5</v>
      </c>
      <c r="K19" s="45" t="s">
        <v>56</v>
      </c>
      <c r="L19" s="45" t="s">
        <v>31</v>
      </c>
      <c r="M19" s="77" t="e">
        <f>#REF!</f>
        <v>#REF!</v>
      </c>
      <c r="N19" s="65"/>
      <c r="O19" s="46" t="s">
        <v>48</v>
      </c>
      <c r="P19" s="43"/>
      <c r="Q19" s="47">
        <v>3</v>
      </c>
      <c r="R19" s="85">
        <f>ROUNDUP(Q19*0.75,2)</f>
        <v>2.25</v>
      </c>
    </row>
    <row r="20" spans="1:18" ht="24.95" customHeight="1" x14ac:dyDescent="0.15">
      <c r="A20" s="222"/>
      <c r="B20" s="66"/>
      <c r="C20" s="49"/>
      <c r="D20" s="50"/>
      <c r="E20" s="51"/>
      <c r="F20" s="52"/>
      <c r="G20" s="70"/>
      <c r="H20" s="74"/>
      <c r="I20" s="50"/>
      <c r="J20" s="52"/>
      <c r="K20" s="52"/>
      <c r="L20" s="52"/>
      <c r="M20" s="78"/>
      <c r="N20" s="66"/>
      <c r="O20" s="53"/>
      <c r="P20" s="50"/>
      <c r="Q20" s="54"/>
      <c r="R20" s="84"/>
    </row>
    <row r="21" spans="1:18" ht="24.95" customHeight="1" x14ac:dyDescent="0.15">
      <c r="A21" s="222"/>
      <c r="B21" s="65" t="s">
        <v>189</v>
      </c>
      <c r="C21" s="42" t="s">
        <v>190</v>
      </c>
      <c r="D21" s="43"/>
      <c r="E21" s="81">
        <v>0.25</v>
      </c>
      <c r="F21" s="45" t="s">
        <v>133</v>
      </c>
      <c r="G21" s="69"/>
      <c r="H21" s="73" t="s">
        <v>190</v>
      </c>
      <c r="I21" s="43"/>
      <c r="J21" s="45">
        <f>ROUNDUP(E21*0.75,2)</f>
        <v>0.19</v>
      </c>
      <c r="K21" s="45" t="s">
        <v>133</v>
      </c>
      <c r="L21" s="45"/>
      <c r="M21" s="77" t="e">
        <f>#REF!</f>
        <v>#REF!</v>
      </c>
      <c r="N21" s="65" t="s">
        <v>59</v>
      </c>
      <c r="O21" s="46"/>
      <c r="P21" s="43"/>
      <c r="Q21" s="47"/>
      <c r="R21" s="85"/>
    </row>
    <row r="22" spans="1:18" ht="24.95" customHeight="1" thickBot="1" x14ac:dyDescent="0.2">
      <c r="A22" s="223"/>
      <c r="B22" s="67"/>
      <c r="C22" s="57"/>
      <c r="D22" s="58"/>
      <c r="E22" s="59"/>
      <c r="F22" s="60"/>
      <c r="G22" s="71"/>
      <c r="H22" s="75"/>
      <c r="I22" s="58"/>
      <c r="J22" s="60"/>
      <c r="K22" s="60"/>
      <c r="L22" s="60"/>
      <c r="M22" s="79"/>
      <c r="N22" s="67"/>
      <c r="O22" s="61"/>
      <c r="P22" s="58"/>
      <c r="Q22" s="62"/>
      <c r="R22" s="86"/>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18.25" style="27" bestFit="1"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192</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193</v>
      </c>
      <c r="C5" s="36" t="s">
        <v>87</v>
      </c>
      <c r="D5" s="37"/>
      <c r="E5" s="38">
        <v>10</v>
      </c>
      <c r="F5" s="39" t="s">
        <v>23</v>
      </c>
      <c r="G5" s="68" t="s">
        <v>88</v>
      </c>
      <c r="H5" s="72" t="s">
        <v>87</v>
      </c>
      <c r="I5" s="37"/>
      <c r="J5" s="39">
        <f>ROUNDUP(E5*0.75,2)</f>
        <v>7.5</v>
      </c>
      <c r="K5" s="39" t="s">
        <v>23</v>
      </c>
      <c r="L5" s="39" t="s">
        <v>88</v>
      </c>
      <c r="M5" s="76" t="e">
        <f>#REF!</f>
        <v>#REF!</v>
      </c>
      <c r="N5" s="64" t="s">
        <v>303</v>
      </c>
      <c r="O5" s="40" t="s">
        <v>20</v>
      </c>
      <c r="P5" s="37"/>
      <c r="Q5" s="41">
        <v>110</v>
      </c>
      <c r="R5" s="83">
        <f>ROUNDUP(Q5*0.75,2)</f>
        <v>82.5</v>
      </c>
    </row>
    <row r="6" spans="1:19" ht="24.95" customHeight="1" x14ac:dyDescent="0.15">
      <c r="A6" s="222"/>
      <c r="B6" s="65"/>
      <c r="C6" s="42"/>
      <c r="D6" s="43"/>
      <c r="E6" s="44"/>
      <c r="F6" s="45"/>
      <c r="G6" s="69"/>
      <c r="H6" s="73"/>
      <c r="I6" s="43"/>
      <c r="J6" s="45"/>
      <c r="K6" s="45"/>
      <c r="L6" s="45"/>
      <c r="M6" s="77"/>
      <c r="N6" s="65" t="s">
        <v>304</v>
      </c>
      <c r="O6" s="46" t="s">
        <v>103</v>
      </c>
      <c r="P6" s="43" t="s">
        <v>63</v>
      </c>
      <c r="Q6" s="47">
        <v>1</v>
      </c>
      <c r="R6" s="85">
        <f>ROUNDUP(Q6*0.75,2)</f>
        <v>0.75</v>
      </c>
    </row>
    <row r="7" spans="1:19" ht="24.95" customHeight="1" x14ac:dyDescent="0.15">
      <c r="A7" s="222"/>
      <c r="B7" s="65"/>
      <c r="C7" s="42"/>
      <c r="D7" s="43"/>
      <c r="E7" s="44"/>
      <c r="F7" s="45"/>
      <c r="G7" s="69"/>
      <c r="H7" s="73"/>
      <c r="I7" s="43"/>
      <c r="J7" s="45"/>
      <c r="K7" s="45"/>
      <c r="L7" s="45"/>
      <c r="M7" s="77"/>
      <c r="N7" s="65" t="s">
        <v>40</v>
      </c>
      <c r="O7" s="46" t="s">
        <v>114</v>
      </c>
      <c r="P7" s="43" t="s">
        <v>115</v>
      </c>
      <c r="Q7" s="47">
        <v>0.5</v>
      </c>
      <c r="R7" s="85">
        <f>ROUNDUP(Q7*0.75,2)</f>
        <v>0.38</v>
      </c>
    </row>
    <row r="8" spans="1:19" ht="24.95" customHeight="1" x14ac:dyDescent="0.15">
      <c r="A8" s="222"/>
      <c r="B8" s="66"/>
      <c r="C8" s="49"/>
      <c r="D8" s="50"/>
      <c r="E8" s="51"/>
      <c r="F8" s="52"/>
      <c r="G8" s="70"/>
      <c r="H8" s="74"/>
      <c r="I8" s="50"/>
      <c r="J8" s="52"/>
      <c r="K8" s="52"/>
      <c r="L8" s="52"/>
      <c r="M8" s="78"/>
      <c r="N8" s="66"/>
      <c r="O8" s="53"/>
      <c r="P8" s="50"/>
      <c r="Q8" s="54"/>
      <c r="R8" s="84"/>
    </row>
    <row r="9" spans="1:19" ht="24.95" customHeight="1" x14ac:dyDescent="0.15">
      <c r="A9" s="222"/>
      <c r="B9" s="65" t="s">
        <v>194</v>
      </c>
      <c r="C9" s="42" t="s">
        <v>104</v>
      </c>
      <c r="D9" s="43"/>
      <c r="E9" s="44">
        <v>30</v>
      </c>
      <c r="F9" s="45" t="s">
        <v>23</v>
      </c>
      <c r="G9" s="69" t="s">
        <v>35</v>
      </c>
      <c r="H9" s="73" t="s">
        <v>104</v>
      </c>
      <c r="I9" s="43"/>
      <c r="J9" s="45">
        <f t="shared" ref="J9:J15" si="0">ROUNDUP(E9*0.75,2)</f>
        <v>22.5</v>
      </c>
      <c r="K9" s="45" t="s">
        <v>23</v>
      </c>
      <c r="L9" s="45" t="s">
        <v>35</v>
      </c>
      <c r="M9" s="77" t="e">
        <f>#REF!</f>
        <v>#REF!</v>
      </c>
      <c r="N9" s="65" t="s">
        <v>195</v>
      </c>
      <c r="O9" s="46" t="s">
        <v>47</v>
      </c>
      <c r="P9" s="43"/>
      <c r="Q9" s="47">
        <v>2</v>
      </c>
      <c r="R9" s="85">
        <f>ROUNDUP(Q9*0.75,2)</f>
        <v>1.5</v>
      </c>
    </row>
    <row r="10" spans="1:19" ht="24.95" customHeight="1" x14ac:dyDescent="0.15">
      <c r="A10" s="222"/>
      <c r="B10" s="65"/>
      <c r="C10" s="42" t="s">
        <v>44</v>
      </c>
      <c r="D10" s="43"/>
      <c r="E10" s="44">
        <v>40</v>
      </c>
      <c r="F10" s="45" t="s">
        <v>23</v>
      </c>
      <c r="G10" s="69"/>
      <c r="H10" s="73" t="s">
        <v>44</v>
      </c>
      <c r="I10" s="43"/>
      <c r="J10" s="45">
        <f t="shared" si="0"/>
        <v>30</v>
      </c>
      <c r="K10" s="45" t="s">
        <v>23</v>
      </c>
      <c r="L10" s="45"/>
      <c r="M10" s="77" t="e">
        <f>ROUND(#REF!+(#REF!*6/100),2)</f>
        <v>#REF!</v>
      </c>
      <c r="N10" s="65" t="s">
        <v>196</v>
      </c>
      <c r="O10" s="46" t="s">
        <v>73</v>
      </c>
      <c r="P10" s="43"/>
      <c r="Q10" s="47">
        <v>80</v>
      </c>
      <c r="R10" s="85">
        <f>ROUNDUP(Q10*0.75,2)</f>
        <v>60</v>
      </c>
    </row>
    <row r="11" spans="1:19" ht="24.95" customHeight="1" x14ac:dyDescent="0.15">
      <c r="A11" s="222"/>
      <c r="B11" s="65"/>
      <c r="C11" s="42" t="s">
        <v>65</v>
      </c>
      <c r="D11" s="43"/>
      <c r="E11" s="44">
        <v>30</v>
      </c>
      <c r="F11" s="45" t="s">
        <v>23</v>
      </c>
      <c r="G11" s="69"/>
      <c r="H11" s="73" t="s">
        <v>65</v>
      </c>
      <c r="I11" s="43"/>
      <c r="J11" s="45">
        <f t="shared" si="0"/>
        <v>22.5</v>
      </c>
      <c r="K11" s="45" t="s">
        <v>23</v>
      </c>
      <c r="L11" s="45"/>
      <c r="M11" s="77" t="e">
        <f>ROUND(#REF!+(#REF!*10/100),2)</f>
        <v>#REF!</v>
      </c>
      <c r="N11" s="65" t="s">
        <v>276</v>
      </c>
      <c r="O11" s="46"/>
      <c r="P11" s="43"/>
      <c r="Q11" s="47"/>
      <c r="R11" s="85"/>
    </row>
    <row r="12" spans="1:19" ht="24.95" customHeight="1" x14ac:dyDescent="0.15">
      <c r="A12" s="222"/>
      <c r="B12" s="65"/>
      <c r="C12" s="42" t="s">
        <v>69</v>
      </c>
      <c r="D12" s="43"/>
      <c r="E12" s="44">
        <v>10</v>
      </c>
      <c r="F12" s="45" t="s">
        <v>23</v>
      </c>
      <c r="G12" s="69"/>
      <c r="H12" s="73" t="s">
        <v>69</v>
      </c>
      <c r="I12" s="43"/>
      <c r="J12" s="45">
        <f t="shared" si="0"/>
        <v>7.5</v>
      </c>
      <c r="K12" s="45" t="s">
        <v>23</v>
      </c>
      <c r="L12" s="45"/>
      <c r="M12" s="77" t="e">
        <f>ROUND(#REF!+(#REF!*3/100),2)</f>
        <v>#REF!</v>
      </c>
      <c r="N12" s="65" t="s">
        <v>277</v>
      </c>
      <c r="O12" s="46"/>
      <c r="P12" s="43"/>
      <c r="Q12" s="47"/>
      <c r="R12" s="85"/>
    </row>
    <row r="13" spans="1:19" ht="24.95" customHeight="1" x14ac:dyDescent="0.15">
      <c r="A13" s="222"/>
      <c r="B13" s="65"/>
      <c r="C13" s="42" t="s">
        <v>197</v>
      </c>
      <c r="D13" s="43" t="s">
        <v>115</v>
      </c>
      <c r="E13" s="44">
        <v>10</v>
      </c>
      <c r="F13" s="45" t="s">
        <v>23</v>
      </c>
      <c r="G13" s="69"/>
      <c r="H13" s="73" t="s">
        <v>197</v>
      </c>
      <c r="I13" s="43" t="s">
        <v>115</v>
      </c>
      <c r="J13" s="45">
        <f t="shared" si="0"/>
        <v>7.5</v>
      </c>
      <c r="K13" s="45" t="s">
        <v>23</v>
      </c>
      <c r="L13" s="45"/>
      <c r="M13" s="77"/>
      <c r="N13" s="65" t="s">
        <v>141</v>
      </c>
      <c r="O13" s="46"/>
      <c r="P13" s="43"/>
      <c r="Q13" s="47"/>
      <c r="R13" s="85"/>
    </row>
    <row r="14" spans="1:19" ht="24.95" customHeight="1" x14ac:dyDescent="0.15">
      <c r="A14" s="222"/>
      <c r="B14" s="65"/>
      <c r="C14" s="42" t="s">
        <v>62</v>
      </c>
      <c r="D14" s="43" t="s">
        <v>63</v>
      </c>
      <c r="E14" s="44">
        <v>40</v>
      </c>
      <c r="F14" s="45" t="s">
        <v>64</v>
      </c>
      <c r="G14" s="69" t="s">
        <v>22</v>
      </c>
      <c r="H14" s="73" t="s">
        <v>62</v>
      </c>
      <c r="I14" s="43" t="s">
        <v>63</v>
      </c>
      <c r="J14" s="45">
        <f t="shared" si="0"/>
        <v>30</v>
      </c>
      <c r="K14" s="45" t="s">
        <v>64</v>
      </c>
      <c r="L14" s="45" t="s">
        <v>22</v>
      </c>
      <c r="M14" s="77" t="e">
        <f>#REF!</f>
        <v>#REF!</v>
      </c>
      <c r="N14" s="65" t="s">
        <v>40</v>
      </c>
      <c r="O14" s="46"/>
      <c r="P14" s="43"/>
      <c r="Q14" s="47"/>
      <c r="R14" s="85"/>
    </row>
    <row r="15" spans="1:19" ht="24.95" customHeight="1" x14ac:dyDescent="0.15">
      <c r="A15" s="222"/>
      <c r="B15" s="65"/>
      <c r="C15" s="42" t="s">
        <v>108</v>
      </c>
      <c r="D15" s="43"/>
      <c r="E15" s="44">
        <v>0.5</v>
      </c>
      <c r="F15" s="45" t="s">
        <v>23</v>
      </c>
      <c r="G15" s="69"/>
      <c r="H15" s="73" t="s">
        <v>108</v>
      </c>
      <c r="I15" s="43"/>
      <c r="J15" s="45">
        <f t="shared" si="0"/>
        <v>0.38</v>
      </c>
      <c r="K15" s="45" t="s">
        <v>23</v>
      </c>
      <c r="L15" s="45"/>
      <c r="M15" s="77" t="e">
        <f>ROUND(#REF!+(#REF!*10/100),2)</f>
        <v>#REF!</v>
      </c>
      <c r="N15" s="65"/>
      <c r="O15" s="46"/>
      <c r="P15" s="43"/>
      <c r="Q15" s="47"/>
      <c r="R15" s="85"/>
    </row>
    <row r="16" spans="1:19" ht="24.95" customHeight="1" x14ac:dyDescent="0.15">
      <c r="A16" s="222"/>
      <c r="B16" s="66"/>
      <c r="C16" s="49"/>
      <c r="D16" s="50"/>
      <c r="E16" s="51"/>
      <c r="F16" s="52"/>
      <c r="G16" s="70"/>
      <c r="H16" s="74"/>
      <c r="I16" s="50"/>
      <c r="J16" s="52"/>
      <c r="K16" s="52"/>
      <c r="L16" s="52"/>
      <c r="M16" s="78"/>
      <c r="N16" s="66"/>
      <c r="O16" s="53"/>
      <c r="P16" s="50"/>
      <c r="Q16" s="54"/>
      <c r="R16" s="84"/>
    </row>
    <row r="17" spans="1:18" ht="24.95" customHeight="1" x14ac:dyDescent="0.15">
      <c r="A17" s="222"/>
      <c r="B17" s="65" t="s">
        <v>198</v>
      </c>
      <c r="C17" s="42" t="s">
        <v>151</v>
      </c>
      <c r="D17" s="43"/>
      <c r="E17" s="44">
        <v>20</v>
      </c>
      <c r="F17" s="45" t="s">
        <v>23</v>
      </c>
      <c r="G17" s="69" t="s">
        <v>35</v>
      </c>
      <c r="H17" s="73" t="s">
        <v>151</v>
      </c>
      <c r="I17" s="43"/>
      <c r="J17" s="45">
        <f>ROUNDUP(E17*0.75,2)</f>
        <v>15</v>
      </c>
      <c r="K17" s="45" t="s">
        <v>23</v>
      </c>
      <c r="L17" s="45" t="s">
        <v>35</v>
      </c>
      <c r="M17" s="77" t="e">
        <f>#REF!</f>
        <v>#REF!</v>
      </c>
      <c r="N17" s="65" t="s">
        <v>199</v>
      </c>
      <c r="O17" s="46" t="s">
        <v>26</v>
      </c>
      <c r="P17" s="43"/>
      <c r="Q17" s="47">
        <v>0.3</v>
      </c>
      <c r="R17" s="85">
        <f>ROUNDUP(Q17*0.75,2)</f>
        <v>0.23</v>
      </c>
    </row>
    <row r="18" spans="1:18" ht="24.95" customHeight="1" x14ac:dyDescent="0.15">
      <c r="A18" s="222"/>
      <c r="B18" s="65"/>
      <c r="C18" s="42" t="s">
        <v>51</v>
      </c>
      <c r="D18" s="43"/>
      <c r="E18" s="44">
        <v>10</v>
      </c>
      <c r="F18" s="45" t="s">
        <v>23</v>
      </c>
      <c r="G18" s="69"/>
      <c r="H18" s="73" t="s">
        <v>51</v>
      </c>
      <c r="I18" s="43"/>
      <c r="J18" s="45">
        <f>ROUNDUP(E18*0.75,2)</f>
        <v>7.5</v>
      </c>
      <c r="K18" s="45" t="s">
        <v>23</v>
      </c>
      <c r="L18" s="45"/>
      <c r="M18" s="77" t="e">
        <f>ROUND(#REF!+(#REF!*3/100),2)</f>
        <v>#REF!</v>
      </c>
      <c r="N18" s="65" t="s">
        <v>200</v>
      </c>
      <c r="O18" s="46" t="s">
        <v>57</v>
      </c>
      <c r="P18" s="43"/>
      <c r="Q18" s="47">
        <v>0.1</v>
      </c>
      <c r="R18" s="85">
        <f>ROUNDUP(Q18*0.75,2)</f>
        <v>0.08</v>
      </c>
    </row>
    <row r="19" spans="1:18" ht="24.95" customHeight="1" x14ac:dyDescent="0.15">
      <c r="A19" s="222"/>
      <c r="B19" s="65"/>
      <c r="C19" s="42" t="s">
        <v>110</v>
      </c>
      <c r="D19" s="43"/>
      <c r="E19" s="44">
        <v>10</v>
      </c>
      <c r="F19" s="45" t="s">
        <v>23</v>
      </c>
      <c r="G19" s="69"/>
      <c r="H19" s="73" t="s">
        <v>110</v>
      </c>
      <c r="I19" s="43"/>
      <c r="J19" s="45">
        <f>ROUNDUP(E19*0.75,2)</f>
        <v>7.5</v>
      </c>
      <c r="K19" s="45" t="s">
        <v>23</v>
      </c>
      <c r="L19" s="45"/>
      <c r="M19" s="77" t="e">
        <f>ROUND(#REF!+(#REF!*2/100),2)</f>
        <v>#REF!</v>
      </c>
      <c r="N19" s="65" t="s">
        <v>18</v>
      </c>
      <c r="O19" s="46" t="s">
        <v>91</v>
      </c>
      <c r="P19" s="43" t="s">
        <v>92</v>
      </c>
      <c r="Q19" s="47">
        <v>4</v>
      </c>
      <c r="R19" s="85">
        <f>ROUNDUP(Q19*0.75,2)</f>
        <v>3</v>
      </c>
    </row>
    <row r="20" spans="1:18" ht="24.95" customHeight="1" x14ac:dyDescent="0.15">
      <c r="A20" s="222"/>
      <c r="B20" s="65"/>
      <c r="C20" s="42"/>
      <c r="D20" s="43"/>
      <c r="E20" s="44"/>
      <c r="F20" s="45"/>
      <c r="G20" s="69"/>
      <c r="H20" s="73"/>
      <c r="I20" s="43"/>
      <c r="J20" s="45"/>
      <c r="K20" s="45"/>
      <c r="L20" s="45"/>
      <c r="M20" s="77"/>
      <c r="N20" s="65" t="s">
        <v>40</v>
      </c>
      <c r="O20" s="46"/>
      <c r="P20" s="43"/>
      <c r="Q20" s="47"/>
      <c r="R20" s="85"/>
    </row>
    <row r="21" spans="1:18" ht="24.95" customHeight="1" x14ac:dyDescent="0.15">
      <c r="A21" s="222"/>
      <c r="B21" s="66"/>
      <c r="C21" s="49"/>
      <c r="D21" s="50"/>
      <c r="E21" s="51"/>
      <c r="F21" s="52"/>
      <c r="G21" s="70"/>
      <c r="H21" s="74"/>
      <c r="I21" s="50"/>
      <c r="J21" s="52"/>
      <c r="K21" s="52"/>
      <c r="L21" s="52"/>
      <c r="M21" s="78"/>
      <c r="N21" s="66"/>
      <c r="O21" s="53"/>
      <c r="P21" s="50"/>
      <c r="Q21" s="54"/>
      <c r="R21" s="84"/>
    </row>
    <row r="22" spans="1:18" ht="24.95" customHeight="1" x14ac:dyDescent="0.15">
      <c r="A22" s="222"/>
      <c r="B22" s="65" t="s">
        <v>82</v>
      </c>
      <c r="C22" s="42" t="s">
        <v>83</v>
      </c>
      <c r="D22" s="43"/>
      <c r="E22" s="55">
        <v>0.125</v>
      </c>
      <c r="F22" s="45" t="s">
        <v>56</v>
      </c>
      <c r="G22" s="69"/>
      <c r="H22" s="73" t="s">
        <v>83</v>
      </c>
      <c r="I22" s="43"/>
      <c r="J22" s="45">
        <f>ROUNDUP(E22*0.75,2)</f>
        <v>9.9999999999999992E-2</v>
      </c>
      <c r="K22" s="45" t="s">
        <v>56</v>
      </c>
      <c r="L22" s="45"/>
      <c r="M22" s="77" t="e">
        <f>#REF!</f>
        <v>#REF!</v>
      </c>
      <c r="N22" s="65" t="s">
        <v>59</v>
      </c>
      <c r="O22" s="46"/>
      <c r="P22" s="43"/>
      <c r="Q22" s="47"/>
      <c r="R22" s="85"/>
    </row>
    <row r="23" spans="1:18" ht="24.95" customHeight="1" thickBot="1" x14ac:dyDescent="0.2">
      <c r="A23" s="223"/>
      <c r="B23" s="67"/>
      <c r="C23" s="57"/>
      <c r="D23" s="58"/>
      <c r="E23" s="59"/>
      <c r="F23" s="60"/>
      <c r="G23" s="71"/>
      <c r="H23" s="75"/>
      <c r="I23" s="58"/>
      <c r="J23" s="60"/>
      <c r="K23" s="60"/>
      <c r="L23" s="60"/>
      <c r="M23" s="79"/>
      <c r="N23" s="67"/>
      <c r="O23" s="61"/>
      <c r="P23" s="58"/>
      <c r="Q23" s="62"/>
      <c r="R23" s="86"/>
    </row>
  </sheetData>
  <mergeCells count="4">
    <mergeCell ref="H1:N1"/>
    <mergeCell ref="A2:R2"/>
    <mergeCell ref="A3:F3"/>
    <mergeCell ref="A5:A23"/>
  </mergeCells>
  <phoneticPr fontId="16"/>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1.625" style="27" bestFit="1" customWidth="1"/>
    <col min="4" max="4" width="17.125" style="26" customWidth="1"/>
    <col min="5" max="5" width="8.125" style="29" customWidth="1"/>
    <col min="6" max="6" width="4" style="30" customWidth="1"/>
    <col min="7" max="7" width="10.25" style="30" hidden="1" customWidth="1"/>
    <col min="8" max="8" width="20.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2.2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201</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20</v>
      </c>
      <c r="C5" s="36"/>
      <c r="D5" s="37"/>
      <c r="E5" s="38"/>
      <c r="F5" s="39"/>
      <c r="G5" s="68"/>
      <c r="H5" s="72"/>
      <c r="I5" s="37"/>
      <c r="J5" s="39"/>
      <c r="K5" s="39"/>
      <c r="L5" s="39"/>
      <c r="M5" s="76"/>
      <c r="N5" s="64"/>
      <c r="O5" s="40" t="s">
        <v>20</v>
      </c>
      <c r="P5" s="37"/>
      <c r="Q5" s="41">
        <v>110</v>
      </c>
      <c r="R5" s="83">
        <f>ROUNDUP(Q5*0.75,2)</f>
        <v>82.5</v>
      </c>
    </row>
    <row r="6" spans="1:19" ht="24.95" customHeight="1" x14ac:dyDescent="0.15">
      <c r="A6" s="222"/>
      <c r="B6" s="66"/>
      <c r="C6" s="49"/>
      <c r="D6" s="50"/>
      <c r="E6" s="51"/>
      <c r="F6" s="52"/>
      <c r="G6" s="70"/>
      <c r="H6" s="74"/>
      <c r="I6" s="50"/>
      <c r="J6" s="52"/>
      <c r="K6" s="52"/>
      <c r="L6" s="52"/>
      <c r="M6" s="78"/>
      <c r="N6" s="66"/>
      <c r="O6" s="53"/>
      <c r="P6" s="50"/>
      <c r="Q6" s="54"/>
      <c r="R6" s="84"/>
    </row>
    <row r="7" spans="1:19" ht="24.95" customHeight="1" x14ac:dyDescent="0.15">
      <c r="A7" s="222"/>
      <c r="B7" s="65" t="s">
        <v>202</v>
      </c>
      <c r="C7" s="42" t="s">
        <v>70</v>
      </c>
      <c r="D7" s="43"/>
      <c r="E7" s="44">
        <v>1</v>
      </c>
      <c r="F7" s="45" t="s">
        <v>72</v>
      </c>
      <c r="G7" s="69" t="s">
        <v>71</v>
      </c>
      <c r="H7" s="73" t="s">
        <v>70</v>
      </c>
      <c r="I7" s="43"/>
      <c r="J7" s="45">
        <f>ROUNDUP(E7*0.75,2)</f>
        <v>0.75</v>
      </c>
      <c r="K7" s="45" t="s">
        <v>72</v>
      </c>
      <c r="L7" s="45" t="s">
        <v>71</v>
      </c>
      <c r="M7" s="77" t="e">
        <f>#REF!</f>
        <v>#REF!</v>
      </c>
      <c r="N7" s="65" t="s">
        <v>278</v>
      </c>
      <c r="O7" s="46" t="s">
        <v>67</v>
      </c>
      <c r="P7" s="43"/>
      <c r="Q7" s="47">
        <v>5</v>
      </c>
      <c r="R7" s="85">
        <f t="shared" ref="R7:R12" si="0">ROUNDUP(Q7*0.75,2)</f>
        <v>3.75</v>
      </c>
    </row>
    <row r="8" spans="1:19" ht="24.95" customHeight="1" x14ac:dyDescent="0.15">
      <c r="A8" s="222"/>
      <c r="B8" s="65"/>
      <c r="C8" s="42" t="s">
        <v>89</v>
      </c>
      <c r="D8" s="43"/>
      <c r="E8" s="44">
        <v>2</v>
      </c>
      <c r="F8" s="45" t="s">
        <v>23</v>
      </c>
      <c r="G8" s="69" t="s">
        <v>90</v>
      </c>
      <c r="H8" s="73" t="s">
        <v>89</v>
      </c>
      <c r="I8" s="43"/>
      <c r="J8" s="45">
        <f>ROUNDUP(E8*0.75,2)</f>
        <v>1.5</v>
      </c>
      <c r="K8" s="45" t="s">
        <v>23</v>
      </c>
      <c r="L8" s="45" t="s">
        <v>90</v>
      </c>
      <c r="M8" s="77" t="e">
        <f>#REF!</f>
        <v>#REF!</v>
      </c>
      <c r="N8" s="65" t="s">
        <v>279</v>
      </c>
      <c r="O8" s="46" t="s">
        <v>47</v>
      </c>
      <c r="P8" s="43"/>
      <c r="Q8" s="47">
        <v>6</v>
      </c>
      <c r="R8" s="85">
        <f t="shared" si="0"/>
        <v>4.5</v>
      </c>
    </row>
    <row r="9" spans="1:19" ht="24.95" customHeight="1" x14ac:dyDescent="0.15">
      <c r="A9" s="222"/>
      <c r="B9" s="65"/>
      <c r="C9" s="42" t="s">
        <v>116</v>
      </c>
      <c r="D9" s="43"/>
      <c r="E9" s="44">
        <v>10</v>
      </c>
      <c r="F9" s="45" t="s">
        <v>23</v>
      </c>
      <c r="G9" s="69"/>
      <c r="H9" s="73" t="s">
        <v>116</v>
      </c>
      <c r="I9" s="43"/>
      <c r="J9" s="45">
        <f>ROUNDUP(E9*0.75,2)</f>
        <v>7.5</v>
      </c>
      <c r="K9" s="45" t="s">
        <v>23</v>
      </c>
      <c r="L9" s="45"/>
      <c r="M9" s="77" t="e">
        <f>ROUND(#REF!+(#REF!*10/100),2)</f>
        <v>#REF!</v>
      </c>
      <c r="N9" s="65" t="s">
        <v>203</v>
      </c>
      <c r="O9" s="46" t="s">
        <v>73</v>
      </c>
      <c r="P9" s="43"/>
      <c r="Q9" s="47">
        <v>3</v>
      </c>
      <c r="R9" s="85">
        <f t="shared" si="0"/>
        <v>2.25</v>
      </c>
    </row>
    <row r="10" spans="1:19" ht="24.95" customHeight="1" x14ac:dyDescent="0.15">
      <c r="A10" s="222"/>
      <c r="B10" s="65"/>
      <c r="C10" s="42" t="s">
        <v>207</v>
      </c>
      <c r="D10" s="43"/>
      <c r="E10" s="44">
        <v>10</v>
      </c>
      <c r="F10" s="45" t="s">
        <v>23</v>
      </c>
      <c r="G10" s="69"/>
      <c r="H10" s="73" t="s">
        <v>207</v>
      </c>
      <c r="I10" s="43"/>
      <c r="J10" s="45">
        <f>ROUNDUP(E10*0.75,2)</f>
        <v>7.5</v>
      </c>
      <c r="K10" s="45" t="s">
        <v>23</v>
      </c>
      <c r="L10" s="45"/>
      <c r="M10" s="77" t="e">
        <f>ROUND(#REF!+(#REF!*20/100),2)</f>
        <v>#REF!</v>
      </c>
      <c r="N10" s="65" t="s">
        <v>204</v>
      </c>
      <c r="O10" s="46" t="s">
        <v>28</v>
      </c>
      <c r="P10" s="43" t="s">
        <v>29</v>
      </c>
      <c r="Q10" s="47">
        <v>2</v>
      </c>
      <c r="R10" s="85">
        <f t="shared" si="0"/>
        <v>1.5</v>
      </c>
    </row>
    <row r="11" spans="1:19" ht="24.95" customHeight="1" x14ac:dyDescent="0.15">
      <c r="A11" s="222"/>
      <c r="B11" s="65"/>
      <c r="C11" s="42" t="s">
        <v>78</v>
      </c>
      <c r="D11" s="43"/>
      <c r="E11" s="44">
        <v>5</v>
      </c>
      <c r="F11" s="45" t="s">
        <v>23</v>
      </c>
      <c r="G11" s="69"/>
      <c r="H11" s="73" t="s">
        <v>78</v>
      </c>
      <c r="I11" s="43"/>
      <c r="J11" s="45">
        <f>ROUNDUP(E11*0.75,2)</f>
        <v>3.75</v>
      </c>
      <c r="K11" s="45" t="s">
        <v>23</v>
      </c>
      <c r="L11" s="45"/>
      <c r="M11" s="77" t="e">
        <f>ROUND(#REF!+(#REF!*15/100),2)</f>
        <v>#REF!</v>
      </c>
      <c r="N11" s="65" t="s">
        <v>205</v>
      </c>
      <c r="O11" s="46" t="s">
        <v>26</v>
      </c>
      <c r="P11" s="43"/>
      <c r="Q11" s="47">
        <v>2</v>
      </c>
      <c r="R11" s="85">
        <f t="shared" si="0"/>
        <v>1.5</v>
      </c>
    </row>
    <row r="12" spans="1:19" ht="24.95" customHeight="1" x14ac:dyDescent="0.15">
      <c r="A12" s="222"/>
      <c r="B12" s="65"/>
      <c r="C12" s="42"/>
      <c r="D12" s="43"/>
      <c r="E12" s="44"/>
      <c r="F12" s="45"/>
      <c r="G12" s="69"/>
      <c r="H12" s="73"/>
      <c r="I12" s="43"/>
      <c r="J12" s="45"/>
      <c r="K12" s="45"/>
      <c r="L12" s="45"/>
      <c r="M12" s="77"/>
      <c r="N12" s="65" t="s">
        <v>206</v>
      </c>
      <c r="O12" s="46" t="s">
        <v>49</v>
      </c>
      <c r="P12" s="43"/>
      <c r="Q12" s="47">
        <v>1</v>
      </c>
      <c r="R12" s="85">
        <f t="shared" si="0"/>
        <v>0.75</v>
      </c>
    </row>
    <row r="13" spans="1:19" ht="24.95" customHeight="1" x14ac:dyDescent="0.15">
      <c r="A13" s="222"/>
      <c r="B13" s="66"/>
      <c r="C13" s="49"/>
      <c r="D13" s="50"/>
      <c r="E13" s="51"/>
      <c r="F13" s="52"/>
      <c r="G13" s="70"/>
      <c r="H13" s="74"/>
      <c r="I13" s="50"/>
      <c r="J13" s="52"/>
      <c r="K13" s="52"/>
      <c r="L13" s="52"/>
      <c r="M13" s="78"/>
      <c r="N13" s="66" t="s">
        <v>40</v>
      </c>
      <c r="O13" s="53"/>
      <c r="P13" s="50"/>
      <c r="Q13" s="54"/>
      <c r="R13" s="84"/>
    </row>
    <row r="14" spans="1:19" ht="24.95" customHeight="1" x14ac:dyDescent="0.15">
      <c r="A14" s="222"/>
      <c r="B14" s="65" t="s">
        <v>208</v>
      </c>
      <c r="C14" s="42" t="s">
        <v>50</v>
      </c>
      <c r="D14" s="43"/>
      <c r="E14" s="44">
        <v>30</v>
      </c>
      <c r="F14" s="45" t="s">
        <v>23</v>
      </c>
      <c r="G14" s="69"/>
      <c r="H14" s="73" t="s">
        <v>50</v>
      </c>
      <c r="I14" s="43"/>
      <c r="J14" s="45">
        <f>ROUNDUP(E14*0.75,2)</f>
        <v>22.5</v>
      </c>
      <c r="K14" s="45" t="s">
        <v>23</v>
      </c>
      <c r="L14" s="45"/>
      <c r="M14" s="77" t="e">
        <f>ROUND(#REF!+(#REF!*15/100),2)</f>
        <v>#REF!</v>
      </c>
      <c r="N14" s="65" t="s">
        <v>209</v>
      </c>
      <c r="O14" s="46" t="s">
        <v>47</v>
      </c>
      <c r="P14" s="43"/>
      <c r="Q14" s="47">
        <v>0.5</v>
      </c>
      <c r="R14" s="85">
        <f>ROUNDUP(Q14*0.75,2)</f>
        <v>0.38</v>
      </c>
    </row>
    <row r="15" spans="1:19" ht="24.95" customHeight="1" x14ac:dyDescent="0.15">
      <c r="A15" s="222"/>
      <c r="B15" s="65"/>
      <c r="C15" s="42" t="s">
        <v>69</v>
      </c>
      <c r="D15" s="43"/>
      <c r="E15" s="44">
        <v>10</v>
      </c>
      <c r="F15" s="45" t="s">
        <v>23</v>
      </c>
      <c r="G15" s="69"/>
      <c r="H15" s="73" t="s">
        <v>69</v>
      </c>
      <c r="I15" s="43"/>
      <c r="J15" s="45">
        <f>ROUNDUP(E15*0.75,2)</f>
        <v>7.5</v>
      </c>
      <c r="K15" s="45" t="s">
        <v>23</v>
      </c>
      <c r="L15" s="45"/>
      <c r="M15" s="77" t="e">
        <f>ROUND(#REF!+(#REF!*3/100),2)</f>
        <v>#REF!</v>
      </c>
      <c r="N15" s="65" t="s">
        <v>210</v>
      </c>
      <c r="O15" s="46" t="s">
        <v>28</v>
      </c>
      <c r="P15" s="43" t="s">
        <v>29</v>
      </c>
      <c r="Q15" s="47">
        <v>1</v>
      </c>
      <c r="R15" s="85">
        <f>ROUNDUP(Q15*0.75,2)</f>
        <v>0.75</v>
      </c>
    </row>
    <row r="16" spans="1:19" ht="24.95" customHeight="1" x14ac:dyDescent="0.15">
      <c r="A16" s="222"/>
      <c r="B16" s="65"/>
      <c r="C16" s="42" t="s">
        <v>54</v>
      </c>
      <c r="D16" s="43" t="s">
        <v>55</v>
      </c>
      <c r="E16" s="63">
        <v>0.5</v>
      </c>
      <c r="F16" s="45" t="s">
        <v>56</v>
      </c>
      <c r="G16" s="69"/>
      <c r="H16" s="73" t="s">
        <v>54</v>
      </c>
      <c r="I16" s="43" t="s">
        <v>55</v>
      </c>
      <c r="J16" s="45">
        <f>ROUNDUP(E16*0.75,2)</f>
        <v>0.38</v>
      </c>
      <c r="K16" s="45" t="s">
        <v>56</v>
      </c>
      <c r="L16" s="45"/>
      <c r="M16" s="77" t="e">
        <f>#REF!</f>
        <v>#REF!</v>
      </c>
      <c r="N16" s="65" t="s">
        <v>109</v>
      </c>
      <c r="O16" s="46" t="s">
        <v>25</v>
      </c>
      <c r="P16" s="43"/>
      <c r="Q16" s="47">
        <v>2</v>
      </c>
      <c r="R16" s="85">
        <f>ROUNDUP(Q16*0.75,2)</f>
        <v>1.5</v>
      </c>
    </row>
    <row r="17" spans="1:18" ht="24.95" customHeight="1" x14ac:dyDescent="0.15">
      <c r="A17" s="222"/>
      <c r="B17" s="65"/>
      <c r="C17" s="42"/>
      <c r="D17" s="43"/>
      <c r="E17" s="44"/>
      <c r="F17" s="45"/>
      <c r="G17" s="69"/>
      <c r="H17" s="73"/>
      <c r="I17" s="43"/>
      <c r="J17" s="45"/>
      <c r="K17" s="45"/>
      <c r="L17" s="45"/>
      <c r="M17" s="77"/>
      <c r="N17" s="65" t="s">
        <v>40</v>
      </c>
      <c r="O17" s="46" t="s">
        <v>26</v>
      </c>
      <c r="P17" s="43"/>
      <c r="Q17" s="47">
        <v>1</v>
      </c>
      <c r="R17" s="85">
        <f>ROUNDUP(Q17*0.75,2)</f>
        <v>0.75</v>
      </c>
    </row>
    <row r="18" spans="1:18" ht="24.95" customHeight="1" x14ac:dyDescent="0.15">
      <c r="A18" s="222"/>
      <c r="B18" s="66"/>
      <c r="C18" s="49"/>
      <c r="D18" s="50"/>
      <c r="E18" s="51"/>
      <c r="F18" s="52"/>
      <c r="G18" s="70"/>
      <c r="H18" s="74"/>
      <c r="I18" s="50"/>
      <c r="J18" s="52"/>
      <c r="K18" s="52"/>
      <c r="L18" s="52"/>
      <c r="M18" s="78"/>
      <c r="N18" s="66"/>
      <c r="O18" s="53"/>
      <c r="P18" s="50"/>
      <c r="Q18" s="54"/>
      <c r="R18" s="84"/>
    </row>
    <row r="19" spans="1:18" ht="24.95" customHeight="1" x14ac:dyDescent="0.15">
      <c r="A19" s="222"/>
      <c r="B19" s="65" t="s">
        <v>80</v>
      </c>
      <c r="C19" s="42" t="s">
        <v>42</v>
      </c>
      <c r="D19" s="43"/>
      <c r="E19" s="48">
        <v>0.1</v>
      </c>
      <c r="F19" s="45" t="s">
        <v>43</v>
      </c>
      <c r="G19" s="69" t="s">
        <v>22</v>
      </c>
      <c r="H19" s="73" t="s">
        <v>42</v>
      </c>
      <c r="I19" s="43"/>
      <c r="J19" s="45">
        <f>ROUNDUP(E19*0.75,2)</f>
        <v>0.08</v>
      </c>
      <c r="K19" s="45" t="s">
        <v>43</v>
      </c>
      <c r="L19" s="45" t="s">
        <v>22</v>
      </c>
      <c r="M19" s="77" t="e">
        <f>#REF!</f>
        <v>#REF!</v>
      </c>
      <c r="N19" s="65" t="s">
        <v>40</v>
      </c>
      <c r="O19" s="46" t="s">
        <v>25</v>
      </c>
      <c r="P19" s="43"/>
      <c r="Q19" s="47">
        <v>100</v>
      </c>
      <c r="R19" s="85">
        <f>ROUNDUP(Q19*0.75,2)</f>
        <v>75</v>
      </c>
    </row>
    <row r="20" spans="1:18" ht="24.95" customHeight="1" x14ac:dyDescent="0.15">
      <c r="A20" s="222"/>
      <c r="B20" s="65"/>
      <c r="C20" s="42" t="s">
        <v>93</v>
      </c>
      <c r="D20" s="43"/>
      <c r="E20" s="44">
        <v>0.5</v>
      </c>
      <c r="F20" s="45" t="s">
        <v>23</v>
      </c>
      <c r="G20" s="69" t="s">
        <v>94</v>
      </c>
      <c r="H20" s="73" t="s">
        <v>93</v>
      </c>
      <c r="I20" s="43"/>
      <c r="J20" s="45">
        <f>ROUNDUP(E20*0.75,2)</f>
        <v>0.38</v>
      </c>
      <c r="K20" s="45" t="s">
        <v>23</v>
      </c>
      <c r="L20" s="45" t="s">
        <v>94</v>
      </c>
      <c r="M20" s="77" t="e">
        <f>#REF!</f>
        <v>#REF!</v>
      </c>
      <c r="N20" s="65"/>
      <c r="O20" s="46" t="s">
        <v>48</v>
      </c>
      <c r="P20" s="43"/>
      <c r="Q20" s="47">
        <v>3</v>
      </c>
      <c r="R20" s="85">
        <f>ROUNDUP(Q20*0.75,2)</f>
        <v>2.25</v>
      </c>
    </row>
    <row r="21" spans="1:18" ht="24.95" customHeight="1" x14ac:dyDescent="0.15">
      <c r="A21" s="222"/>
      <c r="B21" s="66"/>
      <c r="C21" s="49"/>
      <c r="D21" s="50"/>
      <c r="E21" s="51"/>
      <c r="F21" s="52"/>
      <c r="G21" s="70"/>
      <c r="H21" s="74"/>
      <c r="I21" s="50"/>
      <c r="J21" s="52"/>
      <c r="K21" s="52"/>
      <c r="L21" s="52"/>
      <c r="M21" s="78"/>
      <c r="N21" s="66"/>
      <c r="O21" s="53"/>
      <c r="P21" s="50"/>
      <c r="Q21" s="54"/>
      <c r="R21" s="84"/>
    </row>
    <row r="22" spans="1:18" ht="24.95" customHeight="1" x14ac:dyDescent="0.15">
      <c r="A22" s="222"/>
      <c r="B22" s="65" t="s">
        <v>58</v>
      </c>
      <c r="C22" s="42" t="s">
        <v>60</v>
      </c>
      <c r="D22" s="43"/>
      <c r="E22" s="56">
        <v>0.16666666666666666</v>
      </c>
      <c r="F22" s="45" t="s">
        <v>56</v>
      </c>
      <c r="G22" s="69"/>
      <c r="H22" s="73" t="s">
        <v>60</v>
      </c>
      <c r="I22" s="43"/>
      <c r="J22" s="45">
        <f>ROUNDUP(E22*0.75,2)</f>
        <v>0.13</v>
      </c>
      <c r="K22" s="45" t="s">
        <v>56</v>
      </c>
      <c r="L22" s="45"/>
      <c r="M22" s="77" t="e">
        <f>#REF!</f>
        <v>#REF!</v>
      </c>
      <c r="N22" s="65" t="s">
        <v>59</v>
      </c>
      <c r="O22" s="46"/>
      <c r="P22" s="43"/>
      <c r="Q22" s="47"/>
      <c r="R22" s="85"/>
    </row>
    <row r="23" spans="1:18" ht="24.95" customHeight="1" thickBot="1" x14ac:dyDescent="0.2">
      <c r="A23" s="223"/>
      <c r="B23" s="67"/>
      <c r="C23" s="57"/>
      <c r="D23" s="58"/>
      <c r="E23" s="59"/>
      <c r="F23" s="60"/>
      <c r="G23" s="71"/>
      <c r="H23" s="75"/>
      <c r="I23" s="58"/>
      <c r="J23" s="60"/>
      <c r="K23" s="60"/>
      <c r="L23" s="60"/>
      <c r="M23" s="79"/>
      <c r="N23" s="67"/>
      <c r="O23" s="61"/>
      <c r="P23" s="58"/>
      <c r="Q23" s="62"/>
      <c r="R23" s="86"/>
    </row>
  </sheetData>
  <mergeCells count="4">
    <mergeCell ref="H1:N1"/>
    <mergeCell ref="A2:R2"/>
    <mergeCell ref="A3:F3"/>
    <mergeCell ref="A5:A23"/>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17" style="27" bestFit="1" customWidth="1"/>
    <col min="4" max="4" width="17.125" style="26" customWidth="1"/>
    <col min="5" max="5" width="8.125" style="29" customWidth="1"/>
    <col min="6" max="6" width="4" style="30" customWidth="1"/>
    <col min="7" max="7" width="10.25" style="30" hidden="1" customWidth="1"/>
    <col min="8" max="8" width="15.375" style="31" bestFit="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217"/>
      <c r="I1" s="217"/>
      <c r="J1" s="218"/>
      <c r="K1" s="218"/>
      <c r="L1" s="218"/>
      <c r="M1" s="218"/>
      <c r="N1" s="218"/>
      <c r="O1" s="2"/>
      <c r="P1" s="2"/>
      <c r="Q1" s="4"/>
      <c r="R1" s="4"/>
      <c r="S1" s="3"/>
    </row>
    <row r="2" spans="1:19" ht="36.75" customHeight="1" x14ac:dyDescent="0.15">
      <c r="A2" s="217" t="s">
        <v>0</v>
      </c>
      <c r="B2" s="217"/>
      <c r="C2" s="218"/>
      <c r="D2" s="218"/>
      <c r="E2" s="218"/>
      <c r="F2" s="218"/>
      <c r="G2" s="218"/>
      <c r="H2" s="218"/>
      <c r="I2" s="218"/>
      <c r="J2" s="218"/>
      <c r="K2" s="218"/>
      <c r="L2" s="218"/>
      <c r="M2" s="218"/>
      <c r="N2" s="218"/>
      <c r="O2" s="218"/>
      <c r="P2" s="218"/>
      <c r="Q2" s="218"/>
      <c r="R2" s="218"/>
      <c r="S2" s="3"/>
    </row>
    <row r="3" spans="1:19" ht="27.75" customHeight="1" thickBot="1" x14ac:dyDescent="0.3">
      <c r="A3" s="219" t="s">
        <v>211</v>
      </c>
      <c r="B3" s="220"/>
      <c r="C3" s="220"/>
      <c r="D3" s="220"/>
      <c r="E3" s="220"/>
      <c r="F3" s="220"/>
      <c r="G3" s="2"/>
      <c r="H3" s="2"/>
      <c r="I3" s="12"/>
      <c r="J3" s="2"/>
      <c r="K3" s="7"/>
      <c r="L3" s="7"/>
      <c r="M3" s="10"/>
      <c r="N3" s="2"/>
      <c r="O3" s="13"/>
      <c r="P3" s="12"/>
      <c r="Q3" s="14"/>
      <c r="R3" s="14"/>
      <c r="S3" s="11"/>
    </row>
    <row r="4" spans="1:19" customFormat="1" ht="42" customHeight="1" thickBot="1" x14ac:dyDescent="0.2">
      <c r="A4" s="15"/>
      <c r="B4" s="16" t="s">
        <v>1</v>
      </c>
      <c r="C4" s="17" t="s">
        <v>2</v>
      </c>
      <c r="D4" s="18" t="s">
        <v>306</v>
      </c>
      <c r="E4" s="34" t="s">
        <v>6</v>
      </c>
      <c r="F4" s="19" t="s">
        <v>4</v>
      </c>
      <c r="G4" s="17" t="s">
        <v>5</v>
      </c>
      <c r="H4" s="16" t="s">
        <v>2</v>
      </c>
      <c r="I4" s="18" t="s">
        <v>306</v>
      </c>
      <c r="J4" s="35" t="s">
        <v>3</v>
      </c>
      <c r="K4" s="19" t="s">
        <v>4</v>
      </c>
      <c r="L4" s="19" t="s">
        <v>5</v>
      </c>
      <c r="M4" s="21" t="s">
        <v>7</v>
      </c>
      <c r="N4" s="22" t="s">
        <v>8</v>
      </c>
      <c r="O4" s="19" t="s">
        <v>9</v>
      </c>
      <c r="P4" s="23" t="s">
        <v>306</v>
      </c>
      <c r="Q4" s="20" t="s">
        <v>11</v>
      </c>
      <c r="R4" s="24" t="s">
        <v>10</v>
      </c>
      <c r="S4" s="25"/>
    </row>
    <row r="5" spans="1:19" ht="24.95" customHeight="1" x14ac:dyDescent="0.15">
      <c r="A5" s="221" t="s">
        <v>61</v>
      </c>
      <c r="B5" s="64" t="s">
        <v>212</v>
      </c>
      <c r="C5" s="36" t="s">
        <v>215</v>
      </c>
      <c r="D5" s="37" t="s">
        <v>150</v>
      </c>
      <c r="E5" s="38">
        <v>40</v>
      </c>
      <c r="F5" s="39" t="s">
        <v>23</v>
      </c>
      <c r="G5" s="68" t="s">
        <v>216</v>
      </c>
      <c r="H5" s="72" t="s">
        <v>215</v>
      </c>
      <c r="I5" s="37" t="s">
        <v>217</v>
      </c>
      <c r="J5" s="39">
        <f>ROUNDUP(E5*0.75,2)</f>
        <v>30</v>
      </c>
      <c r="K5" s="39" t="s">
        <v>23</v>
      </c>
      <c r="L5" s="39" t="s">
        <v>216</v>
      </c>
      <c r="M5" s="76" t="e">
        <f>#REF!</f>
        <v>#REF!</v>
      </c>
      <c r="N5" s="64" t="s">
        <v>75</v>
      </c>
      <c r="O5" s="40" t="s">
        <v>27</v>
      </c>
      <c r="P5" s="37"/>
      <c r="Q5" s="41">
        <v>0.5</v>
      </c>
      <c r="R5" s="83">
        <f t="shared" ref="R5:R10" si="0">ROUNDUP(Q5*0.75,2)</f>
        <v>0.38</v>
      </c>
    </row>
    <row r="6" spans="1:19" ht="24.95" customHeight="1" x14ac:dyDescent="0.15">
      <c r="A6" s="222"/>
      <c r="B6" s="65"/>
      <c r="C6" s="42" t="s">
        <v>76</v>
      </c>
      <c r="D6" s="43"/>
      <c r="E6" s="44">
        <v>30</v>
      </c>
      <c r="F6" s="45" t="s">
        <v>23</v>
      </c>
      <c r="G6" s="69" t="s">
        <v>35</v>
      </c>
      <c r="H6" s="73" t="s">
        <v>76</v>
      </c>
      <c r="I6" s="43"/>
      <c r="J6" s="45">
        <f>ROUNDUP(E6*0.75,2)</f>
        <v>22.5</v>
      </c>
      <c r="K6" s="45" t="s">
        <v>23</v>
      </c>
      <c r="L6" s="45" t="s">
        <v>35</v>
      </c>
      <c r="M6" s="77" t="e">
        <f>#REF!</f>
        <v>#REF!</v>
      </c>
      <c r="N6" s="65" t="s">
        <v>213</v>
      </c>
      <c r="O6" s="46" t="s">
        <v>47</v>
      </c>
      <c r="P6" s="43"/>
      <c r="Q6" s="47">
        <v>2</v>
      </c>
      <c r="R6" s="85">
        <f t="shared" si="0"/>
        <v>1.5</v>
      </c>
    </row>
    <row r="7" spans="1:19" ht="24.95" customHeight="1" x14ac:dyDescent="0.15">
      <c r="A7" s="222"/>
      <c r="B7" s="65"/>
      <c r="C7" s="42" t="s">
        <v>53</v>
      </c>
      <c r="D7" s="43"/>
      <c r="E7" s="44">
        <v>20</v>
      </c>
      <c r="F7" s="45" t="s">
        <v>23</v>
      </c>
      <c r="G7" s="69"/>
      <c r="H7" s="73" t="s">
        <v>53</v>
      </c>
      <c r="I7" s="43"/>
      <c r="J7" s="45">
        <f>ROUNDUP(E7*0.75,2)</f>
        <v>15</v>
      </c>
      <c r="K7" s="45" t="s">
        <v>23</v>
      </c>
      <c r="L7" s="45"/>
      <c r="M7" s="77" t="e">
        <f>ROUND(#REF!+(#REF!*10/100),2)</f>
        <v>#REF!</v>
      </c>
      <c r="N7" s="65" t="s">
        <v>214</v>
      </c>
      <c r="O7" s="46" t="s">
        <v>25</v>
      </c>
      <c r="P7" s="43"/>
      <c r="Q7" s="47">
        <v>130</v>
      </c>
      <c r="R7" s="85">
        <f t="shared" si="0"/>
        <v>97.5</v>
      </c>
    </row>
    <row r="8" spans="1:19" ht="24.95" customHeight="1" x14ac:dyDescent="0.15">
      <c r="A8" s="222"/>
      <c r="B8" s="65"/>
      <c r="C8" s="42" t="s">
        <v>69</v>
      </c>
      <c r="D8" s="43"/>
      <c r="E8" s="44">
        <v>10</v>
      </c>
      <c r="F8" s="45" t="s">
        <v>23</v>
      </c>
      <c r="G8" s="69"/>
      <c r="H8" s="73" t="s">
        <v>69</v>
      </c>
      <c r="I8" s="43"/>
      <c r="J8" s="45">
        <f>ROUNDUP(E8*0.75,2)</f>
        <v>7.5</v>
      </c>
      <c r="K8" s="45" t="s">
        <v>23</v>
      </c>
      <c r="L8" s="45"/>
      <c r="M8" s="77" t="e">
        <f>ROUND(#REF!+(#REF!*3/100),2)</f>
        <v>#REF!</v>
      </c>
      <c r="N8" s="65" t="s">
        <v>40</v>
      </c>
      <c r="O8" s="46" t="s">
        <v>49</v>
      </c>
      <c r="P8" s="43"/>
      <c r="Q8" s="47">
        <v>2</v>
      </c>
      <c r="R8" s="85">
        <f t="shared" si="0"/>
        <v>1.5</v>
      </c>
    </row>
    <row r="9" spans="1:19" ht="24.95" customHeight="1" x14ac:dyDescent="0.15">
      <c r="A9" s="222"/>
      <c r="B9" s="65"/>
      <c r="C9" s="42" t="s">
        <v>113</v>
      </c>
      <c r="D9" s="43"/>
      <c r="E9" s="44">
        <v>10</v>
      </c>
      <c r="F9" s="45" t="s">
        <v>23</v>
      </c>
      <c r="G9" s="69"/>
      <c r="H9" s="73" t="s">
        <v>113</v>
      </c>
      <c r="I9" s="43"/>
      <c r="J9" s="45">
        <f>ROUNDUP(E9*0.75,2)</f>
        <v>7.5</v>
      </c>
      <c r="K9" s="45" t="s">
        <v>23</v>
      </c>
      <c r="L9" s="45"/>
      <c r="M9" s="77" t="e">
        <f>ROUND(#REF!+(#REF!*15/100),2)</f>
        <v>#REF!</v>
      </c>
      <c r="N9" s="65"/>
      <c r="O9" s="46" t="s">
        <v>57</v>
      </c>
      <c r="P9" s="43"/>
      <c r="Q9" s="47">
        <v>0.1</v>
      </c>
      <c r="R9" s="85">
        <f t="shared" si="0"/>
        <v>0.08</v>
      </c>
    </row>
    <row r="10" spans="1:19" ht="24.95" customHeight="1" x14ac:dyDescent="0.15">
      <c r="A10" s="222"/>
      <c r="B10" s="65"/>
      <c r="C10" s="42"/>
      <c r="D10" s="43"/>
      <c r="E10" s="44"/>
      <c r="F10" s="45"/>
      <c r="G10" s="69"/>
      <c r="H10" s="73"/>
      <c r="I10" s="43"/>
      <c r="J10" s="45"/>
      <c r="K10" s="45"/>
      <c r="L10" s="45"/>
      <c r="M10" s="77"/>
      <c r="N10" s="65"/>
      <c r="O10" s="46" t="s">
        <v>28</v>
      </c>
      <c r="P10" s="43" t="s">
        <v>29</v>
      </c>
      <c r="Q10" s="47">
        <v>3.5</v>
      </c>
      <c r="R10" s="85">
        <f t="shared" si="0"/>
        <v>2.63</v>
      </c>
    </row>
    <row r="11" spans="1:19" ht="24.95" customHeight="1" x14ac:dyDescent="0.15">
      <c r="A11" s="222"/>
      <c r="B11" s="66"/>
      <c r="C11" s="49"/>
      <c r="D11" s="50"/>
      <c r="E11" s="51"/>
      <c r="F11" s="52"/>
      <c r="G11" s="70"/>
      <c r="H11" s="74"/>
      <c r="I11" s="50"/>
      <c r="J11" s="52"/>
      <c r="K11" s="52"/>
      <c r="L11" s="52"/>
      <c r="M11" s="78"/>
      <c r="N11" s="66"/>
      <c r="O11" s="53"/>
      <c r="P11" s="50"/>
      <c r="Q11" s="54"/>
      <c r="R11" s="84"/>
    </row>
    <row r="12" spans="1:19" ht="24.95" customHeight="1" x14ac:dyDescent="0.15">
      <c r="A12" s="222"/>
      <c r="B12" s="65" t="s">
        <v>218</v>
      </c>
      <c r="C12" s="42" t="s">
        <v>191</v>
      </c>
      <c r="D12" s="43"/>
      <c r="E12" s="81">
        <v>0.25</v>
      </c>
      <c r="F12" s="45" t="s">
        <v>66</v>
      </c>
      <c r="G12" s="69" t="s">
        <v>22</v>
      </c>
      <c r="H12" s="73" t="s">
        <v>191</v>
      </c>
      <c r="I12" s="43"/>
      <c r="J12" s="45">
        <f>ROUNDUP(E12*0.75,2)</f>
        <v>0.19</v>
      </c>
      <c r="K12" s="45" t="s">
        <v>66</v>
      </c>
      <c r="L12" s="45" t="s">
        <v>22</v>
      </c>
      <c r="M12" s="77" t="e">
        <f>#REF!</f>
        <v>#REF!</v>
      </c>
      <c r="N12" s="65" t="s">
        <v>219</v>
      </c>
      <c r="O12" s="46" t="s">
        <v>25</v>
      </c>
      <c r="P12" s="43"/>
      <c r="Q12" s="47">
        <v>10</v>
      </c>
      <c r="R12" s="85">
        <f t="shared" ref="R12:R19" si="1">ROUNDUP(Q12*0.75,2)</f>
        <v>7.5</v>
      </c>
    </row>
    <row r="13" spans="1:19" ht="24.95" customHeight="1" x14ac:dyDescent="0.15">
      <c r="A13" s="222"/>
      <c r="B13" s="65"/>
      <c r="C13" s="42" t="s">
        <v>95</v>
      </c>
      <c r="D13" s="43"/>
      <c r="E13" s="44">
        <v>5</v>
      </c>
      <c r="F13" s="45" t="s">
        <v>23</v>
      </c>
      <c r="G13" s="69"/>
      <c r="H13" s="73" t="s">
        <v>95</v>
      </c>
      <c r="I13" s="43"/>
      <c r="J13" s="45">
        <f>ROUNDUP(E13*0.75,2)</f>
        <v>3.75</v>
      </c>
      <c r="K13" s="45" t="s">
        <v>23</v>
      </c>
      <c r="L13" s="45"/>
      <c r="M13" s="77" t="e">
        <f>ROUND(#REF!+(#REF!*15/100),2)</f>
        <v>#REF!</v>
      </c>
      <c r="N13" s="65" t="s">
        <v>220</v>
      </c>
      <c r="O13" s="46" t="s">
        <v>28</v>
      </c>
      <c r="P13" s="43" t="s">
        <v>29</v>
      </c>
      <c r="Q13" s="47">
        <v>0.8</v>
      </c>
      <c r="R13" s="85">
        <f t="shared" si="1"/>
        <v>0.6</v>
      </c>
    </row>
    <row r="14" spans="1:19" ht="24.95" customHeight="1" x14ac:dyDescent="0.15">
      <c r="A14" s="222"/>
      <c r="B14" s="65"/>
      <c r="C14" s="42" t="s">
        <v>86</v>
      </c>
      <c r="D14" s="43"/>
      <c r="E14" s="44">
        <v>2</v>
      </c>
      <c r="F14" s="45" t="s">
        <v>23</v>
      </c>
      <c r="G14" s="69"/>
      <c r="H14" s="73" t="s">
        <v>86</v>
      </c>
      <c r="I14" s="43"/>
      <c r="J14" s="45">
        <f>ROUNDUP(E14*0.75,2)</f>
        <v>1.5</v>
      </c>
      <c r="K14" s="45" t="s">
        <v>23</v>
      </c>
      <c r="L14" s="45"/>
      <c r="M14" s="77" t="e">
        <f>ROUND(#REF!+(#REF!*10/100),2)</f>
        <v>#REF!</v>
      </c>
      <c r="N14" s="65" t="s">
        <v>221</v>
      </c>
      <c r="O14" s="46" t="s">
        <v>26</v>
      </c>
      <c r="P14" s="43"/>
      <c r="Q14" s="47">
        <v>0.4</v>
      </c>
      <c r="R14" s="85">
        <f t="shared" si="1"/>
        <v>0.3</v>
      </c>
    </row>
    <row r="15" spans="1:19" ht="24.95" customHeight="1" x14ac:dyDescent="0.15">
      <c r="A15" s="222"/>
      <c r="B15" s="65"/>
      <c r="C15" s="42"/>
      <c r="D15" s="43"/>
      <c r="E15" s="44"/>
      <c r="F15" s="45"/>
      <c r="G15" s="69"/>
      <c r="H15" s="73"/>
      <c r="I15" s="43"/>
      <c r="J15" s="45"/>
      <c r="K15" s="45"/>
      <c r="L15" s="45"/>
      <c r="M15" s="77"/>
      <c r="N15" s="65" t="s">
        <v>280</v>
      </c>
      <c r="O15" s="46" t="s">
        <v>124</v>
      </c>
      <c r="P15" s="43"/>
      <c r="Q15" s="47">
        <v>1.5</v>
      </c>
      <c r="R15" s="85">
        <f t="shared" si="1"/>
        <v>1.1300000000000001</v>
      </c>
    </row>
    <row r="16" spans="1:19" ht="24.95" customHeight="1" x14ac:dyDescent="0.15">
      <c r="A16" s="222"/>
      <c r="B16" s="65"/>
      <c r="C16" s="42"/>
      <c r="D16" s="43"/>
      <c r="E16" s="44"/>
      <c r="F16" s="45"/>
      <c r="G16" s="69"/>
      <c r="H16" s="73"/>
      <c r="I16" s="43"/>
      <c r="J16" s="45"/>
      <c r="K16" s="45"/>
      <c r="L16" s="45"/>
      <c r="M16" s="77"/>
      <c r="N16" s="65" t="s">
        <v>281</v>
      </c>
      <c r="O16" s="46" t="s">
        <v>25</v>
      </c>
      <c r="P16" s="43"/>
      <c r="Q16" s="47">
        <v>20</v>
      </c>
      <c r="R16" s="85">
        <f t="shared" si="1"/>
        <v>15</v>
      </c>
    </row>
    <row r="17" spans="1:18" ht="24.95" customHeight="1" x14ac:dyDescent="0.15">
      <c r="A17" s="222"/>
      <c r="B17" s="65"/>
      <c r="C17" s="42"/>
      <c r="D17" s="43"/>
      <c r="E17" s="44"/>
      <c r="F17" s="45"/>
      <c r="G17" s="69"/>
      <c r="H17" s="73"/>
      <c r="I17" s="43"/>
      <c r="J17" s="45"/>
      <c r="K17" s="45"/>
      <c r="L17" s="45"/>
      <c r="M17" s="77"/>
      <c r="N17" s="65" t="s">
        <v>222</v>
      </c>
      <c r="O17" s="46" t="s">
        <v>49</v>
      </c>
      <c r="P17" s="43"/>
      <c r="Q17" s="47">
        <v>1</v>
      </c>
      <c r="R17" s="85">
        <f t="shared" si="1"/>
        <v>0.75</v>
      </c>
    </row>
    <row r="18" spans="1:18" ht="24.95" customHeight="1" x14ac:dyDescent="0.15">
      <c r="A18" s="222"/>
      <c r="B18" s="65"/>
      <c r="C18" s="42"/>
      <c r="D18" s="43"/>
      <c r="E18" s="44"/>
      <c r="F18" s="45"/>
      <c r="G18" s="69"/>
      <c r="H18" s="73"/>
      <c r="I18" s="43"/>
      <c r="J18" s="45"/>
      <c r="K18" s="45"/>
      <c r="L18" s="45"/>
      <c r="M18" s="77"/>
      <c r="N18" s="65" t="s">
        <v>40</v>
      </c>
      <c r="O18" s="46" t="s">
        <v>28</v>
      </c>
      <c r="P18" s="43" t="s">
        <v>29</v>
      </c>
      <c r="Q18" s="47">
        <v>1</v>
      </c>
      <c r="R18" s="85">
        <f t="shared" si="1"/>
        <v>0.75</v>
      </c>
    </row>
    <row r="19" spans="1:18" ht="24.95" customHeight="1" x14ac:dyDescent="0.15">
      <c r="A19" s="222"/>
      <c r="B19" s="65"/>
      <c r="C19" s="42"/>
      <c r="D19" s="43"/>
      <c r="E19" s="44"/>
      <c r="F19" s="45"/>
      <c r="G19" s="69"/>
      <c r="H19" s="73"/>
      <c r="I19" s="43"/>
      <c r="J19" s="45"/>
      <c r="K19" s="45"/>
      <c r="L19" s="45"/>
      <c r="M19" s="77"/>
      <c r="N19" s="65"/>
      <c r="O19" s="46" t="s">
        <v>67</v>
      </c>
      <c r="P19" s="43"/>
      <c r="Q19" s="47">
        <v>1</v>
      </c>
      <c r="R19" s="85">
        <f t="shared" si="1"/>
        <v>0.75</v>
      </c>
    </row>
    <row r="20" spans="1:18" ht="24.95" customHeight="1" x14ac:dyDescent="0.15">
      <c r="A20" s="222"/>
      <c r="B20" s="66"/>
      <c r="C20" s="49"/>
      <c r="D20" s="50"/>
      <c r="E20" s="51"/>
      <c r="F20" s="52"/>
      <c r="G20" s="70"/>
      <c r="H20" s="74"/>
      <c r="I20" s="50"/>
      <c r="J20" s="52"/>
      <c r="K20" s="52"/>
      <c r="L20" s="52"/>
      <c r="M20" s="78"/>
      <c r="N20" s="66"/>
      <c r="O20" s="53"/>
      <c r="P20" s="50"/>
      <c r="Q20" s="54"/>
      <c r="R20" s="84"/>
    </row>
    <row r="21" spans="1:18" ht="24.95" customHeight="1" x14ac:dyDescent="0.15">
      <c r="A21" s="222"/>
      <c r="B21" s="65" t="s">
        <v>96</v>
      </c>
      <c r="C21" s="42" t="s">
        <v>100</v>
      </c>
      <c r="D21" s="43" t="s">
        <v>63</v>
      </c>
      <c r="E21" s="44">
        <v>40</v>
      </c>
      <c r="F21" s="45" t="s">
        <v>23</v>
      </c>
      <c r="G21" s="69"/>
      <c r="H21" s="73" t="s">
        <v>100</v>
      </c>
      <c r="I21" s="43" t="s">
        <v>63</v>
      </c>
      <c r="J21" s="45">
        <f>ROUNDUP(E21*0.75,2)</f>
        <v>30</v>
      </c>
      <c r="K21" s="45" t="s">
        <v>23</v>
      </c>
      <c r="L21" s="45"/>
      <c r="M21" s="77" t="e">
        <f>#REF!</f>
        <v>#REF!</v>
      </c>
      <c r="N21" s="65" t="s">
        <v>97</v>
      </c>
      <c r="O21" s="46" t="s">
        <v>26</v>
      </c>
      <c r="P21" s="43"/>
      <c r="Q21" s="47">
        <v>1</v>
      </c>
      <c r="R21" s="85">
        <f>ROUNDUP(Q21*0.75,2)</f>
        <v>0.75</v>
      </c>
    </row>
    <row r="22" spans="1:18" ht="24.95" customHeight="1" x14ac:dyDescent="0.15">
      <c r="A22" s="222"/>
      <c r="B22" s="65"/>
      <c r="C22" s="42"/>
      <c r="D22" s="43"/>
      <c r="E22" s="44"/>
      <c r="F22" s="45"/>
      <c r="G22" s="69"/>
      <c r="H22" s="73"/>
      <c r="I22" s="43"/>
      <c r="J22" s="45"/>
      <c r="K22" s="45"/>
      <c r="L22" s="45"/>
      <c r="M22" s="77"/>
      <c r="N22" s="65" t="s">
        <v>98</v>
      </c>
      <c r="O22" s="46" t="s">
        <v>73</v>
      </c>
      <c r="P22" s="43"/>
      <c r="Q22" s="47">
        <v>3</v>
      </c>
      <c r="R22" s="85">
        <f>ROUNDUP(Q22*0.75,2)</f>
        <v>2.25</v>
      </c>
    </row>
    <row r="23" spans="1:18" ht="24.95" customHeight="1" x14ac:dyDescent="0.15">
      <c r="A23" s="222"/>
      <c r="B23" s="65"/>
      <c r="C23" s="42"/>
      <c r="D23" s="43"/>
      <c r="E23" s="44"/>
      <c r="F23" s="45"/>
      <c r="G23" s="69"/>
      <c r="H23" s="73"/>
      <c r="I23" s="43"/>
      <c r="J23" s="45"/>
      <c r="K23" s="45"/>
      <c r="L23" s="45"/>
      <c r="M23" s="77"/>
      <c r="N23" s="65" t="s">
        <v>99</v>
      </c>
      <c r="O23" s="46"/>
      <c r="P23" s="43"/>
      <c r="Q23" s="47"/>
      <c r="R23" s="85"/>
    </row>
    <row r="24" spans="1:18" ht="24.95" customHeight="1" x14ac:dyDescent="0.15">
      <c r="A24" s="222"/>
      <c r="B24" s="65"/>
      <c r="C24" s="42"/>
      <c r="D24" s="43"/>
      <c r="E24" s="44"/>
      <c r="F24" s="45"/>
      <c r="G24" s="69"/>
      <c r="H24" s="73"/>
      <c r="I24" s="43"/>
      <c r="J24" s="45"/>
      <c r="K24" s="45"/>
      <c r="L24" s="45"/>
      <c r="M24" s="77"/>
      <c r="N24" s="65" t="s">
        <v>40</v>
      </c>
      <c r="O24" s="46"/>
      <c r="P24" s="43"/>
      <c r="Q24" s="47"/>
      <c r="R24" s="85"/>
    </row>
    <row r="25" spans="1:18" ht="24.95" customHeight="1" thickBot="1" x14ac:dyDescent="0.2">
      <c r="A25" s="223"/>
      <c r="B25" s="67"/>
      <c r="C25" s="57"/>
      <c r="D25" s="58"/>
      <c r="E25" s="59"/>
      <c r="F25" s="60"/>
      <c r="G25" s="71"/>
      <c r="H25" s="75"/>
      <c r="I25" s="58"/>
      <c r="J25" s="60"/>
      <c r="K25" s="60"/>
      <c r="L25" s="60"/>
      <c r="M25" s="79"/>
      <c r="N25" s="67"/>
      <c r="O25" s="61"/>
      <c r="P25" s="58"/>
      <c r="Q25" s="62"/>
      <c r="R25" s="86"/>
    </row>
  </sheetData>
  <mergeCells count="4">
    <mergeCell ref="H1:N1"/>
    <mergeCell ref="A2:R2"/>
    <mergeCell ref="A3:F3"/>
    <mergeCell ref="A5:A25"/>
  </mergeCells>
  <phoneticPr fontId="16"/>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キッズ月間(昼・おやつ) </vt:lpstr>
      <vt:lpstr>11月1日（金）</vt:lpstr>
      <vt:lpstr>11月5日（火）</vt:lpstr>
      <vt:lpstr>11月6日（水）</vt:lpstr>
      <vt:lpstr>11月7日（木）</vt:lpstr>
      <vt:lpstr>11月8日（金）</vt:lpstr>
      <vt:lpstr>11月11日（月）</vt:lpstr>
      <vt:lpstr>11月12日（火）</vt:lpstr>
      <vt:lpstr>11月13日（水）</vt:lpstr>
      <vt:lpstr>11月14日（木）</vt:lpstr>
      <vt:lpstr>11月15日（金）</vt:lpstr>
      <vt:lpstr>11月18日（月）</vt:lpstr>
      <vt:lpstr>11月19日（火）</vt:lpstr>
      <vt:lpstr>11月20日（水）</vt:lpstr>
      <vt:lpstr>11月21日（木）</vt:lpstr>
      <vt:lpstr>11月22日（金）</vt:lpstr>
      <vt:lpstr>11月25日（月）</vt:lpstr>
      <vt:lpstr>11月26日（火）</vt:lpstr>
      <vt:lpstr>11月27日（水）</vt:lpstr>
      <vt:lpstr>11月28日（木）</vt:lpstr>
      <vt:lpstr>11月29日（金）</vt:lpstr>
      <vt:lpstr>'キッズ月間(昼・おやつ) '!Print_Area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2019-10-09T07:42:31Z</cp:lastPrinted>
  <dcterms:created xsi:type="dcterms:W3CDTF">2019-03-20T06:11:51Z</dcterms:created>
  <dcterms:modified xsi:type="dcterms:W3CDTF">2019-10-11T04:02:36Z</dcterms:modified>
</cp:coreProperties>
</file>