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770"/>
  </bookViews>
  <sheets>
    <sheet name="キッズ月間(昼・おやつ) " sheetId="37" r:id="rId1"/>
    <sheet name="10月1日（火）" sheetId="2" r:id="rId2"/>
    <sheet name="10月2日（水）" sheetId="3" r:id="rId3"/>
    <sheet name="10月3日（木）" sheetId="4" r:id="rId4"/>
    <sheet name="10月4日（金）" sheetId="5" r:id="rId5"/>
    <sheet name="10月7日（月）" sheetId="8" r:id="rId6"/>
    <sheet name="10月8日（火）" sheetId="9" r:id="rId7"/>
    <sheet name="10月9日（水）" sheetId="10" r:id="rId8"/>
    <sheet name="10月10日（木）" sheetId="11" r:id="rId9"/>
    <sheet name="10月11日（金）" sheetId="12" r:id="rId10"/>
    <sheet name="10月15日（火）" sheetId="16" r:id="rId11"/>
    <sheet name="10月16日（水）" sheetId="17" r:id="rId12"/>
    <sheet name="10月17日（木）" sheetId="18" r:id="rId13"/>
    <sheet name="10月18日（金）" sheetId="19" r:id="rId14"/>
    <sheet name="10月21日（月）" sheetId="22" r:id="rId15"/>
    <sheet name="10月23日（水）" sheetId="24" r:id="rId16"/>
    <sheet name="10月24日（木）" sheetId="25" r:id="rId17"/>
    <sheet name="10月25日（金）" sheetId="26" r:id="rId18"/>
    <sheet name="10月28日（月）" sheetId="36" r:id="rId19"/>
    <sheet name="10月29日（火）" sheetId="30" r:id="rId20"/>
    <sheet name="10月30日（水）" sheetId="31" r:id="rId21"/>
    <sheet name="10月31日（木）" sheetId="32" r:id="rId22"/>
  </sheets>
  <definedNames>
    <definedName name="_xlnm.Print_Area" localSheetId="0">'キッズ月間(昼・おやつ) '!$A$1:$U$100</definedName>
    <definedName name="_xlnm.Print_Area">#REF!</definedName>
  </definedNames>
  <calcPr calcId="152511"/>
</workbook>
</file>

<file path=xl/calcChain.xml><?xml version="1.0" encoding="utf-8"?>
<calcChain xmlns="http://schemas.openxmlformats.org/spreadsheetml/2006/main">
  <c r="I69" i="37" l="1"/>
  <c r="G69" i="37"/>
  <c r="F69" i="37"/>
  <c r="E69" i="37"/>
  <c r="D69" i="37"/>
  <c r="I68" i="37"/>
  <c r="G68" i="37"/>
  <c r="F68" i="37"/>
  <c r="E68" i="37"/>
  <c r="D68" i="37"/>
  <c r="G65" i="37"/>
  <c r="G64" i="37"/>
  <c r="G63" i="37"/>
  <c r="G62" i="37"/>
  <c r="G61" i="37"/>
  <c r="R60" i="37"/>
  <c r="G60" i="37"/>
  <c r="R59" i="37"/>
  <c r="G59" i="37"/>
  <c r="R58" i="37"/>
  <c r="G58" i="37"/>
  <c r="R57" i="37"/>
  <c r="G57" i="37"/>
  <c r="R56" i="37"/>
  <c r="G56" i="37"/>
  <c r="R55" i="37"/>
  <c r="R54" i="37"/>
  <c r="R53" i="37"/>
  <c r="G53" i="37"/>
  <c r="R52" i="37"/>
  <c r="G52" i="37"/>
  <c r="R51" i="37"/>
  <c r="G51" i="37"/>
  <c r="R50" i="37"/>
  <c r="G50" i="37"/>
  <c r="R49" i="37"/>
  <c r="G49" i="37"/>
  <c r="R48" i="37"/>
  <c r="G48" i="37"/>
  <c r="R47" i="37"/>
  <c r="G47" i="37"/>
  <c r="R46" i="37"/>
  <c r="G46" i="37"/>
  <c r="R45" i="37"/>
  <c r="G45" i="37"/>
  <c r="R44" i="37"/>
  <c r="G44" i="37"/>
  <c r="R43" i="37"/>
  <c r="G43" i="37"/>
  <c r="R42" i="37"/>
  <c r="G42" i="37"/>
  <c r="R41" i="37"/>
  <c r="G41" i="37"/>
  <c r="R40" i="37"/>
  <c r="G40" i="37"/>
  <c r="R39" i="37"/>
  <c r="G39" i="37"/>
  <c r="R38" i="37"/>
  <c r="G38" i="37"/>
  <c r="R37" i="37"/>
  <c r="G37" i="37"/>
  <c r="R36" i="37"/>
  <c r="G36" i="37"/>
  <c r="R35" i="37"/>
  <c r="G35" i="37"/>
  <c r="R34" i="37"/>
  <c r="G34" i="37"/>
  <c r="R33" i="37"/>
  <c r="G33" i="37"/>
  <c r="R32" i="37"/>
  <c r="G32" i="37"/>
  <c r="R31" i="37"/>
  <c r="G31" i="37"/>
  <c r="R30" i="37"/>
  <c r="G30" i="37"/>
  <c r="R29" i="37"/>
  <c r="G29" i="37"/>
  <c r="R28" i="37"/>
  <c r="R27" i="37"/>
  <c r="R26" i="37"/>
  <c r="G26" i="37"/>
  <c r="G25" i="37"/>
  <c r="G24" i="37"/>
  <c r="R23" i="37"/>
  <c r="G23" i="37"/>
  <c r="R22" i="37"/>
  <c r="G22" i="37"/>
  <c r="R21" i="37"/>
  <c r="G21" i="37"/>
  <c r="R20" i="37"/>
  <c r="G20" i="37"/>
  <c r="R19" i="37"/>
  <c r="G19" i="37"/>
  <c r="G18" i="37"/>
  <c r="G17" i="37"/>
  <c r="R16" i="37"/>
  <c r="G16" i="37"/>
  <c r="R15" i="37"/>
  <c r="G15" i="37"/>
  <c r="R14" i="37"/>
  <c r="G14" i="37"/>
  <c r="R13" i="37"/>
  <c r="G13" i="37"/>
  <c r="R12" i="37"/>
  <c r="G12" i="37"/>
  <c r="R11" i="37"/>
  <c r="G11" i="37"/>
  <c r="R10" i="37"/>
  <c r="G10" i="37"/>
  <c r="R9" i="37"/>
  <c r="G9" i="37"/>
  <c r="R8" i="37"/>
  <c r="G8" i="37"/>
  <c r="R7" i="37"/>
  <c r="G7" i="37"/>
  <c r="R21" i="36" l="1"/>
  <c r="J21" i="36"/>
  <c r="M21" i="36"/>
  <c r="R20" i="36"/>
  <c r="J20" i="36"/>
  <c r="M20" i="36" s="1"/>
  <c r="J18" i="36"/>
  <c r="M18" i="36" s="1"/>
  <c r="R17" i="36"/>
  <c r="J17" i="36"/>
  <c r="M17" i="36" s="1"/>
  <c r="R16" i="36"/>
  <c r="J16" i="36"/>
  <c r="M16" i="36" s="1"/>
  <c r="R14" i="36"/>
  <c r="R13" i="36"/>
  <c r="J13" i="36"/>
  <c r="M13" i="36" s="1"/>
  <c r="R12" i="36"/>
  <c r="J12" i="36"/>
  <c r="M12" i="36" s="1"/>
  <c r="R11" i="36"/>
  <c r="J11" i="36"/>
  <c r="M11" i="36" s="1"/>
  <c r="R10" i="36"/>
  <c r="J10" i="36"/>
  <c r="M10" i="36"/>
  <c r="R9" i="36"/>
  <c r="J9" i="36"/>
  <c r="M9" i="36" s="1"/>
  <c r="R7" i="36"/>
  <c r="R6" i="36"/>
  <c r="R5" i="36"/>
  <c r="J5" i="36"/>
  <c r="M5" i="36" s="1"/>
  <c r="J21" i="32"/>
  <c r="M21" i="32" s="1"/>
  <c r="R19" i="32"/>
  <c r="R18" i="32"/>
  <c r="R17" i="32"/>
  <c r="J19" i="32"/>
  <c r="M19" i="32" s="1"/>
  <c r="J18" i="32"/>
  <c r="M18" i="32" s="1"/>
  <c r="J17" i="32"/>
  <c r="M17" i="32" s="1"/>
  <c r="J12" i="32"/>
  <c r="M12" i="32" s="1"/>
  <c r="J11" i="32"/>
  <c r="M11" i="32" s="1"/>
  <c r="R11" i="32"/>
  <c r="R10" i="32"/>
  <c r="M10" i="32"/>
  <c r="J10" i="32"/>
  <c r="R9" i="32"/>
  <c r="J9" i="32"/>
  <c r="M9" i="32" s="1"/>
  <c r="M8" i="32"/>
  <c r="J8" i="32"/>
  <c r="R8" i="32"/>
  <c r="J7" i="32"/>
  <c r="M7" i="32" s="1"/>
  <c r="R7" i="32"/>
  <c r="J19" i="31"/>
  <c r="M19" i="31" s="1"/>
  <c r="R17" i="31"/>
  <c r="R16" i="31"/>
  <c r="R15" i="31"/>
  <c r="R14" i="31"/>
  <c r="R13" i="31"/>
  <c r="R12" i="31"/>
  <c r="J15" i="31"/>
  <c r="M15" i="31" s="1"/>
  <c r="M14" i="31"/>
  <c r="J14" i="31"/>
  <c r="J13" i="31"/>
  <c r="M13" i="31" s="1"/>
  <c r="J12" i="31"/>
  <c r="M12" i="31" s="1"/>
  <c r="R6" i="31"/>
  <c r="J10" i="31"/>
  <c r="M10" i="31" s="1"/>
  <c r="J9" i="31"/>
  <c r="M9" i="31" s="1"/>
  <c r="J8" i="31"/>
  <c r="M8" i="31" s="1"/>
  <c r="J7" i="31"/>
  <c r="M7" i="31" s="1"/>
  <c r="J6" i="31"/>
  <c r="M6" i="31" s="1"/>
  <c r="R5" i="31"/>
  <c r="M5" i="31"/>
  <c r="J5" i="31"/>
  <c r="J24" i="30"/>
  <c r="M24" i="30" s="1"/>
  <c r="R22" i="30"/>
  <c r="R21" i="30"/>
  <c r="J22" i="30"/>
  <c r="M22" i="30" s="1"/>
  <c r="J21" i="30"/>
  <c r="M21" i="30" s="1"/>
  <c r="R19" i="30"/>
  <c r="R18" i="30"/>
  <c r="R17" i="30"/>
  <c r="R16" i="30"/>
  <c r="R15" i="30"/>
  <c r="M17" i="30"/>
  <c r="J17" i="30"/>
  <c r="J16" i="30"/>
  <c r="M16" i="30" s="1"/>
  <c r="M15" i="30"/>
  <c r="J15" i="30"/>
  <c r="J10" i="30"/>
  <c r="M10" i="30" s="1"/>
  <c r="J9" i="30"/>
  <c r="M9" i="30" s="1"/>
  <c r="J8" i="30"/>
  <c r="M8" i="30" s="1"/>
  <c r="R10" i="30"/>
  <c r="R9" i="30"/>
  <c r="R8" i="30"/>
  <c r="R7" i="30"/>
  <c r="J7" i="30"/>
  <c r="M7" i="30" s="1"/>
  <c r="R5" i="30"/>
  <c r="R19" i="26"/>
  <c r="R18" i="26"/>
  <c r="J19" i="26"/>
  <c r="M19" i="26" s="1"/>
  <c r="J18" i="26"/>
  <c r="M18" i="26" s="1"/>
  <c r="R16" i="26"/>
  <c r="R15" i="26"/>
  <c r="R14" i="26"/>
  <c r="J16" i="26"/>
  <c r="M16" i="26" s="1"/>
  <c r="M15" i="26"/>
  <c r="J15" i="26"/>
  <c r="J14" i="26"/>
  <c r="M14" i="26" s="1"/>
  <c r="J12" i="26"/>
  <c r="M12" i="26" s="1"/>
  <c r="J11" i="26"/>
  <c r="M11" i="26" s="1"/>
  <c r="R12" i="26"/>
  <c r="R11" i="26"/>
  <c r="R10" i="26"/>
  <c r="R9" i="26"/>
  <c r="R8" i="26"/>
  <c r="R7" i="26"/>
  <c r="J10" i="26"/>
  <c r="M10" i="26" s="1"/>
  <c r="J9" i="26"/>
  <c r="M9" i="26" s="1"/>
  <c r="J8" i="26"/>
  <c r="M8" i="26" s="1"/>
  <c r="J7" i="26"/>
  <c r="M7" i="26" s="1"/>
  <c r="M5" i="26"/>
  <c r="J5" i="26"/>
  <c r="R5" i="26"/>
  <c r="J25" i="25"/>
  <c r="M25" i="25" s="1"/>
  <c r="R23" i="25"/>
  <c r="R22" i="25"/>
  <c r="R21" i="25"/>
  <c r="J22" i="25"/>
  <c r="M22" i="25" s="1"/>
  <c r="J21" i="25"/>
  <c r="M21" i="25" s="1"/>
  <c r="R19" i="25"/>
  <c r="R18" i="25"/>
  <c r="R17" i="25"/>
  <c r="R16" i="25"/>
  <c r="R15" i="25"/>
  <c r="J17" i="25"/>
  <c r="M17" i="25" s="1"/>
  <c r="J16" i="25"/>
  <c r="M16" i="25" s="1"/>
  <c r="M15" i="25"/>
  <c r="J15" i="25"/>
  <c r="R13" i="25"/>
  <c r="R12" i="25"/>
  <c r="R11" i="25"/>
  <c r="R10" i="25"/>
  <c r="J10" i="25"/>
  <c r="M10" i="25" s="1"/>
  <c r="J9" i="25"/>
  <c r="M9" i="25" s="1"/>
  <c r="M8" i="25"/>
  <c r="J8" i="25"/>
  <c r="R9" i="25"/>
  <c r="R8" i="25"/>
  <c r="R7" i="25"/>
  <c r="J7" i="25"/>
  <c r="M7" i="25" s="1"/>
  <c r="R5" i="25"/>
  <c r="R20" i="24"/>
  <c r="R19" i="24"/>
  <c r="R18" i="24"/>
  <c r="J18" i="24"/>
  <c r="M18" i="24" s="1"/>
  <c r="R17" i="24"/>
  <c r="R16" i="24"/>
  <c r="J17" i="24"/>
  <c r="M17" i="24" s="1"/>
  <c r="J16" i="24"/>
  <c r="M16" i="24" s="1"/>
  <c r="R13" i="24"/>
  <c r="R12" i="24"/>
  <c r="R11" i="24"/>
  <c r="J12" i="24"/>
  <c r="M12" i="24" s="1"/>
  <c r="M11" i="24"/>
  <c r="J11" i="24"/>
  <c r="R9" i="24"/>
  <c r="R8" i="24"/>
  <c r="R7" i="24"/>
  <c r="R6" i="24"/>
  <c r="M9" i="24"/>
  <c r="J9" i="24"/>
  <c r="J8" i="24"/>
  <c r="M8" i="24" s="1"/>
  <c r="J7" i="24"/>
  <c r="M7" i="24" s="1"/>
  <c r="J6" i="24"/>
  <c r="M6" i="24" s="1"/>
  <c r="R5" i="24"/>
  <c r="J5" i="24"/>
  <c r="M5" i="24" s="1"/>
  <c r="J28" i="22"/>
  <c r="M28" i="22" s="1"/>
  <c r="R26" i="22"/>
  <c r="R25" i="22"/>
  <c r="R24" i="22"/>
  <c r="M25" i="22"/>
  <c r="J25" i="22"/>
  <c r="J24" i="22"/>
  <c r="M24" i="22" s="1"/>
  <c r="R22" i="22"/>
  <c r="R21" i="22"/>
  <c r="R20" i="22"/>
  <c r="R19" i="22"/>
  <c r="R18" i="22"/>
  <c r="M20" i="22"/>
  <c r="J20" i="22"/>
  <c r="J19" i="22"/>
  <c r="M19" i="22" s="1"/>
  <c r="J18" i="22"/>
  <c r="M18" i="22" s="1"/>
  <c r="R17" i="22"/>
  <c r="J17" i="22"/>
  <c r="M17" i="22" s="1"/>
  <c r="J9" i="22"/>
  <c r="M9" i="22" s="1"/>
  <c r="M8" i="22"/>
  <c r="J8" i="22"/>
  <c r="R15" i="22"/>
  <c r="R14" i="22"/>
  <c r="R13" i="22"/>
  <c r="R12" i="22"/>
  <c r="R11" i="22"/>
  <c r="R10" i="22"/>
  <c r="R9" i="22"/>
  <c r="R8" i="22"/>
  <c r="R7" i="22"/>
  <c r="J7" i="22"/>
  <c r="M7" i="22" s="1"/>
  <c r="M5" i="22"/>
  <c r="J5" i="22"/>
  <c r="R5" i="22"/>
  <c r="J30" i="19"/>
  <c r="M30" i="19" s="1"/>
  <c r="R27" i="19"/>
  <c r="R26" i="19"/>
  <c r="R25" i="19"/>
  <c r="M27" i="19"/>
  <c r="J27" i="19"/>
  <c r="J26" i="19"/>
  <c r="M26" i="19" s="1"/>
  <c r="J25" i="19"/>
  <c r="M25" i="19" s="1"/>
  <c r="M20" i="19"/>
  <c r="J20" i="19"/>
  <c r="R23" i="19"/>
  <c r="R22" i="19"/>
  <c r="R21" i="19"/>
  <c r="R20" i="19"/>
  <c r="R19" i="19"/>
  <c r="R18" i="19"/>
  <c r="R17" i="19"/>
  <c r="J19" i="19"/>
  <c r="M19" i="19" s="1"/>
  <c r="J18" i="19"/>
  <c r="M18" i="19" s="1"/>
  <c r="M17" i="19"/>
  <c r="J17" i="19"/>
  <c r="R11" i="19"/>
  <c r="M10" i="19"/>
  <c r="J10" i="19"/>
  <c r="J9" i="19"/>
  <c r="M9" i="19" s="1"/>
  <c r="J8" i="19"/>
  <c r="M8" i="19" s="1"/>
  <c r="R10" i="19"/>
  <c r="J7" i="19"/>
  <c r="M7" i="19" s="1"/>
  <c r="R9" i="19"/>
  <c r="R8" i="19"/>
  <c r="R7" i="19"/>
  <c r="J17" i="18"/>
  <c r="M17" i="18" s="1"/>
  <c r="R15" i="18"/>
  <c r="R14" i="18"/>
  <c r="R13" i="18"/>
  <c r="J15" i="18"/>
  <c r="M15" i="18" s="1"/>
  <c r="J14" i="18"/>
  <c r="M14" i="18" s="1"/>
  <c r="M13" i="18"/>
  <c r="J13" i="18"/>
  <c r="J9" i="18"/>
  <c r="M9" i="18" s="1"/>
  <c r="J8" i="18"/>
  <c r="M8" i="18" s="1"/>
  <c r="R9" i="18"/>
  <c r="R8" i="18"/>
  <c r="M7" i="18"/>
  <c r="J7" i="18"/>
  <c r="R7" i="18"/>
  <c r="J6" i="18"/>
  <c r="M6" i="18" s="1"/>
  <c r="R6" i="18"/>
  <c r="J5" i="18"/>
  <c r="M5" i="18" s="1"/>
  <c r="R5" i="18"/>
  <c r="J19" i="17"/>
  <c r="M19" i="17" s="1"/>
  <c r="R17" i="17"/>
  <c r="R16" i="17"/>
  <c r="R15" i="17"/>
  <c r="R14" i="17"/>
  <c r="R13" i="17"/>
  <c r="R12" i="17"/>
  <c r="J15" i="17"/>
  <c r="M15" i="17" s="1"/>
  <c r="M14" i="17"/>
  <c r="J14" i="17"/>
  <c r="M13" i="17"/>
  <c r="J13" i="17"/>
  <c r="J12" i="17"/>
  <c r="M12" i="17" s="1"/>
  <c r="R6" i="17"/>
  <c r="M10" i="17"/>
  <c r="J10" i="17"/>
  <c r="J9" i="17"/>
  <c r="M9" i="17" s="1"/>
  <c r="J8" i="17"/>
  <c r="M8" i="17" s="1"/>
  <c r="M7" i="17"/>
  <c r="J7" i="17"/>
  <c r="M6" i="17"/>
  <c r="J6" i="17"/>
  <c r="R5" i="17"/>
  <c r="M5" i="17"/>
  <c r="J5" i="17"/>
  <c r="J24" i="16"/>
  <c r="M24" i="16" s="1"/>
  <c r="R22" i="16"/>
  <c r="R21" i="16"/>
  <c r="J22" i="16"/>
  <c r="M22" i="16" s="1"/>
  <c r="J21" i="16"/>
  <c r="M21" i="16" s="1"/>
  <c r="R19" i="16"/>
  <c r="R18" i="16"/>
  <c r="R17" i="16"/>
  <c r="R16" i="16"/>
  <c r="R15" i="16"/>
  <c r="J17" i="16"/>
  <c r="M17" i="16" s="1"/>
  <c r="J16" i="16"/>
  <c r="M16" i="16" s="1"/>
  <c r="M15" i="16"/>
  <c r="J15" i="16"/>
  <c r="J10" i="16"/>
  <c r="M10" i="16" s="1"/>
  <c r="J9" i="16"/>
  <c r="M9" i="16" s="1"/>
  <c r="J8" i="16"/>
  <c r="M8" i="16" s="1"/>
  <c r="R10" i="16"/>
  <c r="R9" i="16"/>
  <c r="R8" i="16"/>
  <c r="R7" i="16"/>
  <c r="M7" i="16"/>
  <c r="J7" i="16"/>
  <c r="R5" i="16"/>
  <c r="R19" i="12"/>
  <c r="R18" i="12"/>
  <c r="M19" i="12"/>
  <c r="J19" i="12"/>
  <c r="J18" i="12"/>
  <c r="M18" i="12" s="1"/>
  <c r="R16" i="12"/>
  <c r="R15" i="12"/>
  <c r="R14" i="12"/>
  <c r="J16" i="12"/>
  <c r="M16" i="12" s="1"/>
  <c r="J15" i="12"/>
  <c r="M15" i="12" s="1"/>
  <c r="J14" i="12"/>
  <c r="M14" i="12" s="1"/>
  <c r="J12" i="12"/>
  <c r="M12" i="12" s="1"/>
  <c r="M11" i="12"/>
  <c r="J11" i="12"/>
  <c r="R12" i="12"/>
  <c r="R11" i="12"/>
  <c r="R10" i="12"/>
  <c r="R9" i="12"/>
  <c r="R8" i="12"/>
  <c r="R7" i="12"/>
  <c r="M10" i="12"/>
  <c r="J10" i="12"/>
  <c r="J9" i="12"/>
  <c r="M9" i="12" s="1"/>
  <c r="J8" i="12"/>
  <c r="M8" i="12" s="1"/>
  <c r="J7" i="12"/>
  <c r="M7" i="12" s="1"/>
  <c r="M5" i="12"/>
  <c r="J5" i="12"/>
  <c r="R5" i="12"/>
  <c r="R26" i="11"/>
  <c r="R25" i="11"/>
  <c r="M25" i="11"/>
  <c r="J25" i="11"/>
  <c r="R23" i="11"/>
  <c r="R22" i="11"/>
  <c r="R21" i="11"/>
  <c r="M22" i="11"/>
  <c r="J22" i="11"/>
  <c r="J21" i="11"/>
  <c r="M21" i="11" s="1"/>
  <c r="R19" i="11"/>
  <c r="R18" i="11"/>
  <c r="R17" i="11"/>
  <c r="R16" i="11"/>
  <c r="R15" i="11"/>
  <c r="M17" i="11"/>
  <c r="J17" i="11"/>
  <c r="M16" i="11"/>
  <c r="J16" i="11"/>
  <c r="J15" i="11"/>
  <c r="M15" i="11" s="1"/>
  <c r="R13" i="11"/>
  <c r="R12" i="11"/>
  <c r="R11" i="11"/>
  <c r="R10" i="11"/>
  <c r="J10" i="11"/>
  <c r="M10" i="11" s="1"/>
  <c r="M9" i="11"/>
  <c r="J9" i="11"/>
  <c r="M8" i="11"/>
  <c r="J8" i="11"/>
  <c r="R9" i="11"/>
  <c r="R8" i="11"/>
  <c r="R7" i="11"/>
  <c r="M7" i="11"/>
  <c r="J7" i="11"/>
  <c r="R5" i="11"/>
  <c r="R20" i="10"/>
  <c r="R19" i="10"/>
  <c r="R18" i="10"/>
  <c r="M18" i="10"/>
  <c r="J18" i="10"/>
  <c r="R17" i="10"/>
  <c r="R16" i="10"/>
  <c r="J17" i="10"/>
  <c r="M17" i="10" s="1"/>
  <c r="J16" i="10"/>
  <c r="M16" i="10" s="1"/>
  <c r="R14" i="10"/>
  <c r="R13" i="10"/>
  <c r="R12" i="10"/>
  <c r="R11" i="10"/>
  <c r="J12" i="10"/>
  <c r="M12" i="10" s="1"/>
  <c r="J11" i="10"/>
  <c r="M11" i="10" s="1"/>
  <c r="R9" i="10"/>
  <c r="R8" i="10"/>
  <c r="R7" i="10"/>
  <c r="R6" i="10"/>
  <c r="M9" i="10"/>
  <c r="J9" i="10"/>
  <c r="J8" i="10"/>
  <c r="M8" i="10" s="1"/>
  <c r="J7" i="10"/>
  <c r="M7" i="10" s="1"/>
  <c r="M6" i="10"/>
  <c r="J6" i="10"/>
  <c r="R5" i="10"/>
  <c r="J5" i="10"/>
  <c r="M5" i="10" s="1"/>
  <c r="J23" i="9"/>
  <c r="M23" i="9" s="1"/>
  <c r="R21" i="9"/>
  <c r="R20" i="9"/>
  <c r="J21" i="9"/>
  <c r="M21" i="9" s="1"/>
  <c r="J20" i="9"/>
  <c r="M20" i="9" s="1"/>
  <c r="R18" i="9"/>
  <c r="R17" i="9"/>
  <c r="R16" i="9"/>
  <c r="R15" i="9"/>
  <c r="J17" i="9"/>
  <c r="M17" i="9" s="1"/>
  <c r="J16" i="9"/>
  <c r="M16" i="9" s="1"/>
  <c r="J15" i="9"/>
  <c r="M15" i="9" s="1"/>
  <c r="R13" i="9"/>
  <c r="R12" i="9"/>
  <c r="R11" i="9"/>
  <c r="R10" i="9"/>
  <c r="R9" i="9"/>
  <c r="R8" i="9"/>
  <c r="J11" i="9"/>
  <c r="M11" i="9" s="1"/>
  <c r="J10" i="9"/>
  <c r="M10" i="9" s="1"/>
  <c r="J9" i="9"/>
  <c r="M9" i="9" s="1"/>
  <c r="R7" i="9"/>
  <c r="J8" i="9"/>
  <c r="M8" i="9" s="1"/>
  <c r="M7" i="9"/>
  <c r="J7" i="9"/>
  <c r="R5" i="9"/>
  <c r="J28" i="8"/>
  <c r="M28" i="8" s="1"/>
  <c r="R26" i="8"/>
  <c r="R25" i="8"/>
  <c r="R24" i="8"/>
  <c r="J25" i="8"/>
  <c r="M25" i="8" s="1"/>
  <c r="J24" i="8"/>
  <c r="M24" i="8" s="1"/>
  <c r="R22" i="8"/>
  <c r="R21" i="8"/>
  <c r="R20" i="8"/>
  <c r="R19" i="8"/>
  <c r="R18" i="8"/>
  <c r="J20" i="8"/>
  <c r="M20" i="8" s="1"/>
  <c r="J19" i="8"/>
  <c r="M19" i="8" s="1"/>
  <c r="J18" i="8"/>
  <c r="M18" i="8" s="1"/>
  <c r="R17" i="8"/>
  <c r="J17" i="8"/>
  <c r="M17" i="8" s="1"/>
  <c r="J9" i="8"/>
  <c r="M9" i="8" s="1"/>
  <c r="J8" i="8"/>
  <c r="M8" i="8" s="1"/>
  <c r="R15" i="8"/>
  <c r="R14" i="8"/>
  <c r="R13" i="8"/>
  <c r="R12" i="8"/>
  <c r="R11" i="8"/>
  <c r="R10" i="8"/>
  <c r="R9" i="8"/>
  <c r="R8" i="8"/>
  <c r="R7" i="8"/>
  <c r="J7" i="8"/>
  <c r="M7" i="8" s="1"/>
  <c r="J5" i="8"/>
  <c r="M5" i="8" s="1"/>
  <c r="R5" i="8"/>
  <c r="J25" i="5"/>
  <c r="M25" i="5" s="1"/>
  <c r="R22" i="5"/>
  <c r="R21" i="5"/>
  <c r="R20" i="5"/>
  <c r="J22" i="5"/>
  <c r="M22" i="5" s="1"/>
  <c r="J21" i="5"/>
  <c r="M21" i="5" s="1"/>
  <c r="J20" i="5"/>
  <c r="M20" i="5" s="1"/>
  <c r="M15" i="5"/>
  <c r="J15" i="5"/>
  <c r="R18" i="5"/>
  <c r="R17" i="5"/>
  <c r="R16" i="5"/>
  <c r="R15" i="5"/>
  <c r="R14" i="5"/>
  <c r="R13" i="5"/>
  <c r="R12" i="5"/>
  <c r="J14" i="5"/>
  <c r="M14" i="5" s="1"/>
  <c r="M13" i="5"/>
  <c r="J13" i="5"/>
  <c r="J12" i="5"/>
  <c r="M12" i="5" s="1"/>
  <c r="R8" i="5"/>
  <c r="J8" i="5"/>
  <c r="M8" i="5" s="1"/>
  <c r="J7" i="5"/>
  <c r="M7" i="5" s="1"/>
  <c r="R7" i="5"/>
  <c r="J19" i="4"/>
  <c r="M19" i="4" s="1"/>
  <c r="R17" i="4"/>
  <c r="R16" i="4"/>
  <c r="R15" i="4"/>
  <c r="J17" i="4"/>
  <c r="M17" i="4" s="1"/>
  <c r="J16" i="4"/>
  <c r="M16" i="4" s="1"/>
  <c r="J15" i="4"/>
  <c r="M15" i="4" s="1"/>
  <c r="J11" i="4"/>
  <c r="M11" i="4" s="1"/>
  <c r="J10" i="4"/>
  <c r="M10" i="4" s="1"/>
  <c r="R11" i="4"/>
  <c r="R10" i="4"/>
  <c r="J9" i="4"/>
  <c r="M9" i="4" s="1"/>
  <c r="R9" i="4"/>
  <c r="J8" i="4"/>
  <c r="M8" i="4" s="1"/>
  <c r="R8" i="4"/>
  <c r="J7" i="4"/>
  <c r="M7" i="4" s="1"/>
  <c r="R7" i="4"/>
  <c r="J19" i="3"/>
  <c r="M19" i="3" s="1"/>
  <c r="R17" i="3"/>
  <c r="R16" i="3"/>
  <c r="R15" i="3"/>
  <c r="R14" i="3"/>
  <c r="R13" i="3"/>
  <c r="R12" i="3"/>
  <c r="J15" i="3"/>
  <c r="M15" i="3" s="1"/>
  <c r="J14" i="3"/>
  <c r="M14" i="3" s="1"/>
  <c r="J13" i="3"/>
  <c r="M13" i="3" s="1"/>
  <c r="J12" i="3"/>
  <c r="M12" i="3" s="1"/>
  <c r="R6" i="3"/>
  <c r="M10" i="3"/>
  <c r="J10" i="3"/>
  <c r="J9" i="3"/>
  <c r="M9" i="3" s="1"/>
  <c r="J8" i="3"/>
  <c r="M8" i="3" s="1"/>
  <c r="J7" i="3"/>
  <c r="M7" i="3" s="1"/>
  <c r="J6" i="3"/>
  <c r="M6" i="3" s="1"/>
  <c r="R5" i="3"/>
  <c r="M5" i="3"/>
  <c r="J5" i="3"/>
  <c r="J24" i="2"/>
  <c r="M24" i="2" s="1"/>
  <c r="R22" i="2"/>
  <c r="R21" i="2"/>
  <c r="M22" i="2"/>
  <c r="J22" i="2"/>
  <c r="J21" i="2"/>
  <c r="M21" i="2" s="1"/>
  <c r="R19" i="2"/>
  <c r="R18" i="2"/>
  <c r="R17" i="2"/>
  <c r="R16" i="2"/>
  <c r="R15" i="2"/>
  <c r="J17" i="2"/>
  <c r="M17" i="2" s="1"/>
  <c r="J16" i="2"/>
  <c r="M16" i="2" s="1"/>
  <c r="J15" i="2"/>
  <c r="M15" i="2" s="1"/>
  <c r="J10" i="2"/>
  <c r="M10" i="2" s="1"/>
  <c r="J9" i="2"/>
  <c r="M9" i="2" s="1"/>
  <c r="J8" i="2"/>
  <c r="M8" i="2" s="1"/>
  <c r="R10" i="2"/>
  <c r="R9" i="2"/>
  <c r="R8" i="2"/>
  <c r="R7" i="2"/>
  <c r="J7" i="2"/>
  <c r="M7" i="2" s="1"/>
  <c r="R5" i="2"/>
</calcChain>
</file>

<file path=xl/sharedStrings.xml><?xml version="1.0" encoding="utf-8"?>
<sst xmlns="http://schemas.openxmlformats.org/spreadsheetml/2006/main" count="2613" uniqueCount="469">
  <si>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</si>
  <si>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</si>
  <si>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</si>
  <si>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</si>
  <si>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</si>
  <si>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</si>
  <si>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</si>
  <si>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</si>
  <si>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</si>
  <si>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</si>
  <si>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</si>
  <si>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</si>
  <si>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</si>
  <si>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</si>
  <si>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9月30日(月)配達/10月1日(火)食</t>
    <phoneticPr fontId="3"/>
  </si>
  <si>
    <t>ご飯</t>
  </si>
  <si>
    <t>助宗タラのコーン焼き</t>
  </si>
  <si>
    <t>①コーン・マヨネーズを和えます。_x000D_</t>
  </si>
  <si>
    <t>②魚は水気をよくふき取り、塩をふり、小麦粉をまぶします。_x000D_</t>
  </si>
  <si>
    <t>③天板等に油をひき、魚を並べて180～200度に温めたオーブンで10～15分焼いていったん取り出します。_x000D_</t>
  </si>
  <si>
    <t>④魚の上に①をのせて、再びオーブンで5分くらい（上に焦げ目がつく程度）焼き、茹でて刻んだパセリを散らします。_x000D_</t>
  </si>
  <si>
    <t>※加熱調理する際は中心部75℃で1分以上加熱したことを確認して下さい。_x000D_</t>
  </si>
  <si>
    <t>骨抜き助宗タラ３０</t>
  </si>
  <si>
    <t>アメリカ・中国</t>
  </si>
  <si>
    <t>切</t>
  </si>
  <si>
    <t>マヨネーズ</t>
  </si>
  <si>
    <t>卵・小麦</t>
  </si>
  <si>
    <t>精製塩</t>
  </si>
  <si>
    <t>小麦粉</t>
  </si>
  <si>
    <t>小麦</t>
  </si>
  <si>
    <t>油</t>
  </si>
  <si>
    <t>冷凍カーネルコーン</t>
  </si>
  <si>
    <t>アメリカ</t>
  </si>
  <si>
    <t>g</t>
  </si>
  <si>
    <t>パセリ</t>
  </si>
  <si>
    <t>トマト</t>
  </si>
  <si>
    <t>切干大根の煮物</t>
  </si>
  <si>
    <t>①切干大根は水で戻してザク切りします。_x000D_</t>
  </si>
  <si>
    <t>②熱したごま油で食べやすい大きさに切った材料を炒めて、出し汁・砂糖・みりん・正油で煮て下さい。_x000D_</t>
  </si>
  <si>
    <t>※加熱調理する際は中心部75℃で1分以上加熱したことを確認して下さい。</t>
  </si>
  <si>
    <t>切干大根</t>
  </si>
  <si>
    <t>人参</t>
  </si>
  <si>
    <t>冷凍カット油揚げ</t>
  </si>
  <si>
    <t>国内加工</t>
  </si>
  <si>
    <t>ごま油</t>
  </si>
  <si>
    <t>出し汁</t>
  </si>
  <si>
    <t>上白糖</t>
  </si>
  <si>
    <t>みりん風調味料</t>
  </si>
  <si>
    <t>醤油</t>
  </si>
  <si>
    <t>みそ汁</t>
  </si>
  <si>
    <t>玉ねぎ</t>
  </si>
  <si>
    <t>カットワカメ（韓国産）</t>
  </si>
  <si>
    <t>韓国</t>
  </si>
  <si>
    <t>味噌</t>
  </si>
  <si>
    <t>フルーツ（りんご）</t>
  </si>
  <si>
    <t>※原料のまま流水できれいに洗って下さい。</t>
  </si>
  <si>
    <t>りんご</t>
  </si>
  <si>
    <t>ヶ</t>
  </si>
  <si>
    <t>昼</t>
  </si>
  <si>
    <t>牛乳</t>
  </si>
  <si>
    <t>乳</t>
  </si>
  <si>
    <t>cc</t>
  </si>
  <si>
    <t>さつま芋</t>
  </si>
  <si>
    <t>バター</t>
  </si>
  <si>
    <t>レーズン</t>
  </si>
  <si>
    <t>黒いりごま</t>
  </si>
  <si>
    <t>ミャンマー、ベトナム、メキシコ、パラグアイ等</t>
  </si>
  <si>
    <t>④刻んで茹でた万能ねぎを散らして下さい。_x000D_</t>
  </si>
  <si>
    <t>玉子</t>
  </si>
  <si>
    <t>卵</t>
  </si>
  <si>
    <t>国産鶏もも小間(加熱用)</t>
  </si>
  <si>
    <t>日本</t>
  </si>
  <si>
    <t>しめじ</t>
  </si>
  <si>
    <t>こしょう</t>
  </si>
  <si>
    <t>万能ねぎ</t>
  </si>
  <si>
    <t>キャベツ</t>
  </si>
  <si>
    <t>ブロッコリー</t>
  </si>
  <si>
    <t>酢</t>
  </si>
  <si>
    <t>①野菜は食べやすい大きさに切ります。_x000D_</t>
  </si>
  <si>
    <t>※とろみをみて水溶き片栗粉の量は調節してください。_x000D_</t>
  </si>
  <si>
    <t>冷凍グリンピース</t>
  </si>
  <si>
    <t>中国</t>
  </si>
  <si>
    <t>水</t>
  </si>
  <si>
    <t>コンソメ</t>
  </si>
  <si>
    <t>乳・小麦</t>
  </si>
  <si>
    <t>片栗粉</t>
  </si>
  <si>
    <t>10月1日(火)配達/10月2日(水)食</t>
    <phoneticPr fontId="3"/>
  </si>
  <si>
    <t>ほうとう風うどん</t>
  </si>
  <si>
    <t>①うどんはたっぷりのお湯で12分茹でて、流水でよく洗いぬめりを取ります。_x000D_</t>
  </si>
  <si>
    <t>②材料は食べやすい大きさに切ります。_x000D_</t>
  </si>
  <si>
    <t>③鍋にだし汁を煮立て②を入れて煮ます。_x000D_</t>
  </si>
  <si>
    <t>④材料が柔らかくなったら、味噌を溶き入れます。_x000D_</t>
  </si>
  <si>
    <t>⑤器にうどんを盛りつけ、④をかけて下さい。_x000D_</t>
  </si>
  <si>
    <t>（干）うどん</t>
  </si>
  <si>
    <t>オーストラリア、日本</t>
  </si>
  <si>
    <t>小麦※14</t>
    <phoneticPr fontId="17"/>
  </si>
  <si>
    <t>小麦※14</t>
    <phoneticPr fontId="17"/>
  </si>
  <si>
    <t>大根</t>
  </si>
  <si>
    <t>かぼちゃ</t>
  </si>
  <si>
    <t>小松菜</t>
  </si>
  <si>
    <t>ひじきとおからの炒り煮</t>
  </si>
  <si>
    <t>①人参は細切りにし、ひじきは戻します。_x000D_</t>
  </si>
  <si>
    <t>②油で①・枝豆を炒め合わせ、調味料を加え煮ます。_x000D_</t>
  </si>
  <si>
    <t>③乾燥おからをふり入れ、中火で余分な煮汁がなくなるまで煮て下さい。_x000D_</t>
  </si>
  <si>
    <t>※誤嚥防止のために豆は軽く潰してもよいでしょう。_x000D_</t>
  </si>
  <si>
    <t>乾燥おから</t>
  </si>
  <si>
    <t>ひじき</t>
  </si>
  <si>
    <t>中国、韓国</t>
  </si>
  <si>
    <t>冷凍むき枝豆</t>
  </si>
  <si>
    <t>酒</t>
  </si>
  <si>
    <t>フルーツ（バナナ）</t>
  </si>
  <si>
    <t>バナナ</t>
  </si>
  <si>
    <t>本</t>
  </si>
  <si>
    <t>国産豚もも小間</t>
  </si>
  <si>
    <t>Ｐ</t>
  </si>
  <si>
    <t>①魚は水気をよくふき取り酒をふり、小麦粉をまぶします。_x000D_</t>
  </si>
  <si>
    <t>骨抜き白糸タラ３０</t>
  </si>
  <si>
    <t>ノルウェー・中国</t>
  </si>
  <si>
    <t>ケチャップ</t>
  </si>
  <si>
    <t>ウスターソース</t>
  </si>
  <si>
    <t>②調味料は煮立て冷まし、①を和えて下さい。_x000D_</t>
  </si>
  <si>
    <t>もやし</t>
  </si>
  <si>
    <t>白菜</t>
  </si>
  <si>
    <t>長ねぎ</t>
  </si>
  <si>
    <t>フルーツ（オレンジ）</t>
  </si>
  <si>
    <t>ネーブル</t>
  </si>
  <si>
    <t>10月2日(水)配達/10月3日(木)食</t>
    <phoneticPr fontId="3"/>
  </si>
  <si>
    <t>ハヤシライス</t>
  </si>
  <si>
    <t>①玉ねぎは薄切りにします。肉は酒をふります。_x000D_</t>
  </si>
  <si>
    <t>②熱した油で①を炒め、トマトパック・水・砂糖を加えて煮ます。_x000D_</t>
  </si>
  <si>
    <t>③アクを取り、ルーを入れて煮ます。_x000D_</t>
  </si>
  <si>
    <t>④ご飯に③を盛って茹でたグリンピースを散らして下さい。_x000D_</t>
  </si>
  <si>
    <t>※水の分量は調節して下さい。_x000D_</t>
  </si>
  <si>
    <t>カットトマトパック</t>
  </si>
  <si>
    <t>ハヤシルー</t>
  </si>
  <si>
    <t>小麦※4</t>
    <phoneticPr fontId="17"/>
  </si>
  <si>
    <t>ポテト玉子サラダ</t>
  </si>
  <si>
    <t>②調味料を煮立てて冷まして①を和えて下さい。_x000D_</t>
  </si>
  <si>
    <t>じゃが芋</t>
  </si>
  <si>
    <t>きゅうり</t>
  </si>
  <si>
    <t>ﾌﾟﾚｰﾝﾖｰｸﾞﾙﾄ</t>
  </si>
  <si>
    <t>冷凍ちりめん干し</t>
  </si>
  <si>
    <t>※15</t>
  </si>
  <si>
    <t>丁</t>
  </si>
  <si>
    <t>チンゲン菜</t>
  </si>
  <si>
    <t>白すりごま</t>
  </si>
  <si>
    <t>パラグアイ、グァテマラ、メキシコ、ボリビア、エチオピア等</t>
  </si>
  <si>
    <t>すまし汁</t>
  </si>
  <si>
    <t>10月3日(木)配達/10月4日(金)食</t>
    <phoneticPr fontId="3"/>
  </si>
  <si>
    <t>●さつま芋のコロコロおにぎり</t>
  </si>
  <si>
    <t>①さつま芋はさいのめ切りにし、水にさらします。_x000D_</t>
  </si>
  <si>
    <t>②炊飯器に洗った米・水（通常の水加減）・塩を加えて軽く混ぜます。上に芋を広げてのせ、炊飯します。_x000D_</t>
  </si>
  <si>
    <t>鶏のから揚げ</t>
  </si>
  <si>
    <t>①肉は食べやすい大きさに切り、すりおろしたにんにく・生姜汁・調味料をもみこみ10分以上漬け込みます。_x000D_</t>
  </si>
  <si>
    <t>②片栗粉・小麦粉を混ぜ合わせて、肉にまぶして揚げます。_x000D_</t>
  </si>
  <si>
    <t>③千切りにして茹でたキャベツを添えて下さい。_x000D_</t>
  </si>
  <si>
    <t>※にんにくの量は施設で調節してください。_x000D_</t>
  </si>
  <si>
    <t>国産鶏もも切身４０(加熱用)</t>
  </si>
  <si>
    <t>枚</t>
  </si>
  <si>
    <t>にんにく</t>
  </si>
  <si>
    <t>生姜</t>
  </si>
  <si>
    <t>スパゲッティサラダ</t>
  </si>
  <si>
    <t>①野菜は細切りにし茹で冷まします。_x000D_</t>
  </si>
  <si>
    <t>麺は半分に折り約10分茹でて洗います。_x000D_</t>
  </si>
  <si>
    <t>②調味料を煮立て冷まし、①を和えて下さい。_x000D_</t>
  </si>
  <si>
    <t>スパゲッティ</t>
  </si>
  <si>
    <t>カナダ</t>
  </si>
  <si>
    <t>鉄分強化！ふりかけご飯</t>
  </si>
  <si>
    <t>鉄ふりかけ　大豆</t>
  </si>
  <si>
    <t>小麦※18</t>
    <phoneticPr fontId="17"/>
  </si>
  <si>
    <t>ごぼう</t>
  </si>
  <si>
    <t>パン粉</t>
  </si>
  <si>
    <t>アメリカ、カナダ</t>
  </si>
  <si>
    <t>充てん豆腐</t>
  </si>
  <si>
    <t>ヨーグルト</t>
  </si>
  <si>
    <t>①砂糖・水を火にかけてシロップを作り冷まします。_x000D_</t>
  </si>
  <si>
    <t>②①とヨーグルトを合わせてください。_x000D_</t>
  </si>
  <si>
    <t>※甘さは砂糖で調節して下さい。_x000D_</t>
  </si>
  <si>
    <t>ツナフレーク缶</t>
  </si>
  <si>
    <t>タイ</t>
  </si>
  <si>
    <t>骨抜きカラスカレイ３０</t>
  </si>
  <si>
    <t>ロシア・中国</t>
  </si>
  <si>
    <t>フルーツ（パイン缶）</t>
  </si>
  <si>
    <t>インドネシア</t>
  </si>
  <si>
    <t>10月4日(金)配達/10月7日(月)食</t>
    <phoneticPr fontId="3"/>
  </si>
  <si>
    <t>鉄分強化！ふりかけごはん</t>
  </si>
  <si>
    <t>鉄ふりかけ　穀物</t>
  </si>
  <si>
    <t>※18</t>
  </si>
  <si>
    <t>白糸タラの洋風照り焼き</t>
  </si>
  <si>
    <t>②①を両面焼き、正油・みりん・バターを加えて全体に絡めます。_x000D_</t>
  </si>
  <si>
    <t>③野菜・コーンは油で炒め、塩・こしょうして魚に添えて下さい。_x000D_</t>
  </si>
  <si>
    <t>冷凍カットほうれん草ＩＱＦ</t>
  </si>
  <si>
    <t>肉じゃが</t>
  </si>
  <si>
    <t>①芋・人参はさいの目切りし、芋は水にさらします。玉ねぎは食べやすい大きさに切ります。肉は酒をふります。_x000D_</t>
  </si>
  <si>
    <t>②油で肉・野菜の順に炒めて、出し汁・砂糖・みりん・正油で煮て下さい。_x000D_</t>
  </si>
  <si>
    <t>納豆ごはん</t>
  </si>
  <si>
    <t>①だし汁・正油を煮立て冷まし、納豆と混ぜます。_x000D_</t>
  </si>
  <si>
    <t>②ご飯にかける又は別に提供して下さい。_x000D_</t>
  </si>
  <si>
    <t>納豆</t>
  </si>
  <si>
    <t>10月7日(月)配達/10月8日(火)食</t>
    <phoneticPr fontId="3"/>
  </si>
  <si>
    <t>豆腐と豚肉のうま煮</t>
  </si>
  <si>
    <t>①豆腐は水切りして食べやすい大きさに切ります。_x000D_</t>
  </si>
  <si>
    <t>②野菜は食べやすい大きさに切り、肉は酒をふります。_x000D_</t>
  </si>
  <si>
    <t>③熱したごま油で肉・野菜を炒め合わせて、豆腐を加えて調味料で煮ます。_x000D_</t>
  </si>
  <si>
    <t>かぶとトマトのサラダ</t>
  </si>
  <si>
    <t>②煮立て冷ました調味料・①を和えて下さい。_x000D_</t>
  </si>
  <si>
    <t>かぶ</t>
  </si>
  <si>
    <t>えのき茸</t>
  </si>
  <si>
    <t>焼ふ</t>
  </si>
  <si>
    <t>10月8日(火)配達/10月9日(水)食</t>
    <phoneticPr fontId="3"/>
  </si>
  <si>
    <t>スパゲティナポリタン</t>
  </si>
  <si>
    <t>①麺は9～10分ゆでてバターをからめます。_x000D_</t>
  </si>
  <si>
    <t>②材料は食べやすい大きさに切って油で炒め合わせ、めんを加えてケチャップ・ウスターソース・砂糖で調味します。_x000D_</t>
  </si>
  <si>
    <t>③茹でて刻んだパセリを散らして下さい。_x000D_</t>
  </si>
  <si>
    <t>もやしサラダ</t>
  </si>
  <si>
    <t>①食べやすい大きさに切った野菜は茹で冷まします。_x000D_</t>
  </si>
  <si>
    <t>②調味料を煮立てて冷まし、①を和えて下さい。_x000D_</t>
  </si>
  <si>
    <t>みるくスープ</t>
  </si>
  <si>
    <t>国産豚挽肉</t>
  </si>
  <si>
    <t>10月9日(水)配達/10月10日(木)食</t>
    <phoneticPr fontId="3"/>
  </si>
  <si>
    <t>カラスカレイのきのこあんかけ</t>
  </si>
  <si>
    <t>②熱した油で魚を焼きます。_x000D_</t>
  </si>
  <si>
    <t>③きのこ・野菜をだし汁・みりん・正油で煮ます。野菜が柔らかくなったら、水溶き片栗粉でとろみをつけます。_x000D_</t>
  </si>
  <si>
    <t>④器に魚を盛り、③をかけて下さい。_x000D_</t>
  </si>
  <si>
    <t>ピーマン</t>
  </si>
  <si>
    <t>キャベツと油揚げのくたくた煮</t>
  </si>
  <si>
    <t>②油で材料を炒めて調味料で煮て下さい。_x000D_</t>
  </si>
  <si>
    <t>②①を煮立て冷ました調味料で和えて下さい。_x000D_</t>
  </si>
  <si>
    <t>10月9日(水)配達/10月11日(金)食</t>
    <phoneticPr fontId="3"/>
  </si>
  <si>
    <t>ハンバーグ</t>
  </si>
  <si>
    <t>①みじん切りした玉ねぎは炒めて、塩・こしょうし冷まします。_x000D_</t>
  </si>
  <si>
    <t>②肉・①・牛乳にひたしたパン粉を粘りが出るまで練り混ぜて、人数分の小判型にまとめます。_x000D_</t>
  </si>
  <si>
    <t>③熱した油で、②を両面焼き中まで火を通します。_x000D_</t>
  </si>
  <si>
    <t>④肉汁の残ったフライパンにケチャップ・ソースを加えて煮立たせ、ハンバーグにかけます。_x000D_</t>
  </si>
  <si>
    <t>⑤茹でて食べやすい大きさに切ったトマト・食べやすい大きさに切って茹でたブロッコリーを添えて下さい。_x000D_</t>
  </si>
  <si>
    <t>白菜のごま和え</t>
  </si>
  <si>
    <t>①野菜は食べやすい大きさに切り茹で冷まします。_x000D_</t>
  </si>
  <si>
    <t>②玉ねぎは薄切りにし、肉は酒をふります。_x000D_</t>
  </si>
  <si>
    <t>冷凍カット小松菜ＩＱＦ</t>
  </si>
  <si>
    <t>スパニッシュオムレツ</t>
  </si>
  <si>
    <t>①芋はイチョウ切りし茹でて、ツナは汁気をきり・玉ねぎは薄切りにします。_x000D_</t>
  </si>
  <si>
    <t>②熱したバターで①を炒めて塩・コショウし、溶き玉子を混ぜ合わせて丸く焼き、人数分に切りわけます。_x000D_</t>
  </si>
  <si>
    <t>③小松菜はバターでソテーし、塩で調味します。_x000D_</t>
  </si>
  <si>
    <t>④オムレツにケチャップをかけ、③を添えて下さい。_x000D_</t>
  </si>
  <si>
    <t>白菜のじゃこ和え</t>
  </si>
  <si>
    <t>①野菜は食べやすい大きさに切って茹で冷まし、ちりめん干しは茹でて食べやすく刻みます。_x000D_</t>
  </si>
  <si>
    <t>乳・卵・小麦</t>
  </si>
  <si>
    <t>10月11日(金)配達/10月15日(火)食</t>
    <phoneticPr fontId="3"/>
  </si>
  <si>
    <t>④魚の上に①をのせて、再びオーブンで5分くらい（上に焦げ目がつく程度）焼きます。_x000D_</t>
  </si>
  <si>
    <t>冷凍カットインゲン</t>
  </si>
  <si>
    <t>冷凍カリフラワー</t>
  </si>
  <si>
    <t>冷凍千切り人参</t>
  </si>
  <si>
    <t>冷凍ササガキゴボウＩＱＦ</t>
  </si>
  <si>
    <t>10月15日(火)配達/10月16日(水)食</t>
    <phoneticPr fontId="3"/>
  </si>
  <si>
    <t>10月16日(水)配達/10月17日(木)食</t>
    <phoneticPr fontId="3"/>
  </si>
  <si>
    <t>10月17日(木)配達/10月18日(金)食</t>
    <phoneticPr fontId="3"/>
  </si>
  <si>
    <t>●ヒーローライス</t>
  </si>
  <si>
    <t>①米はコンソメを入れて普通に炊きます。_x000D_</t>
  </si>
  <si>
    <t>②ハムは茹でて直径2～3㎝の丸型にくり抜きます（一人当たり３枚）。_x000D_</t>
  </si>
  <si>
    <t>※形抜きがない場合は、小さじの計量スプーン等で半円ずつ形抜くとよいでしょう。_x000D_</t>
  </si>
  <si>
    <t>③残りのハム・玉ねぎはみじん切りにして炒めて塩で調味し、炊き上がったご飯に混ぜ込みます。_x000D_</t>
  </si>
  <si>
    <t>④茹でたちくわは縦に2等分してから小口切りにし、眉毛にします（一人当たり2枚）。_x000D_</t>
  </si>
  <si>
    <t>⑤レーズンは茹でます。_x000D_</t>
  </si>
  <si>
    <t>※写真を参考に盛り付けてください。_x000D_</t>
  </si>
  <si>
    <t>Ａプレスハム</t>
  </si>
  <si>
    <t>冷凍並竹輪</t>
  </si>
  <si>
    <t>小麦※92</t>
    <phoneticPr fontId="17"/>
  </si>
  <si>
    <t>小麦※92</t>
    <phoneticPr fontId="17"/>
  </si>
  <si>
    <t>10月18日(金)配達/10月21日(月)食</t>
    <phoneticPr fontId="3"/>
  </si>
  <si>
    <t>10月21日(月)配達/10月23日(水)食</t>
    <phoneticPr fontId="3"/>
  </si>
  <si>
    <t>ごぼうときゅうりのサラダ</t>
  </si>
  <si>
    <t>①ごぼうはささがき又は細切りして水にさらし、茹で冷まします。きゅうりは細切りにして茹で冷まします。_x000D_</t>
  </si>
  <si>
    <t>10月23日(水)配達/10月24日(木)食</t>
    <phoneticPr fontId="3"/>
  </si>
  <si>
    <t>10月24日(木)配達/10月25日(金)食</t>
    <phoneticPr fontId="3"/>
  </si>
  <si>
    <t>10月28日(月)配達/10月29日(火)食</t>
    <phoneticPr fontId="3"/>
  </si>
  <si>
    <t>10月29日(火)配達/10月30日(水)食</t>
    <phoneticPr fontId="3"/>
  </si>
  <si>
    <t>10月30日(水)配達/10月31日(木)食</t>
    <phoneticPr fontId="3"/>
  </si>
  <si>
    <t>●おばけハヤシライス</t>
  </si>
  <si>
    <t>①人参を半月切りにし（一人：一個）、茹でます。_x000D_</t>
  </si>
  <si>
    <t>③熱した油で②を炒め、トマトパック・水・砂糖を加えて煮ます。_x000D_</t>
  </si>
  <si>
    <t>④アクを取り、ルーを入れて煮ます。_x000D_</t>
  </si>
  <si>
    <t>※写真を参考にして盛り付けて下さい。_x000D_</t>
  </si>
  <si>
    <t>①芋は蒸す又は茹で、熱いうちに粗くつぶして冷まします。きゅうりは食べやすい大きさに切って茹で冷まし、</t>
    <phoneticPr fontId="17"/>
  </si>
  <si>
    <t>②水・コンソメで材料を煮て、やわらかくなったら牛乳を加えて煮ます。塩・バターで味を調え、</t>
    <phoneticPr fontId="17"/>
  </si>
  <si>
    <t>水溶き片栗粉でとろみをつけてください。</t>
  </si>
  <si>
    <t>⑥ご飯を平らに丸く盛り付け、ハムを鼻・ほっぺた、レーズンを目、ちくわを眉毛に見立てて盛り付け、</t>
    <phoneticPr fontId="17"/>
  </si>
  <si>
    <t>ケチャップで口を描いてください。</t>
  </si>
  <si>
    <t>①食べやすい大きさに切ったかぶ・戻したわかめは茹で冷まします。</t>
    <phoneticPr fontId="17"/>
  </si>
  <si>
    <t>トマトは茹でて食べやすい大きさに切り、冷まします。</t>
  </si>
  <si>
    <t>②水・コンソメで材料を煮て、やわらかくなったら牛乳を加えて煮ます。</t>
    <phoneticPr fontId="17"/>
  </si>
  <si>
    <t>塩・バターで味を調え、水溶き片栗粉でとろみをつけてください。</t>
  </si>
  <si>
    <t>①きのこは石づきを取って食べやすい大きさに切ります。野菜は細切りにします。</t>
    <phoneticPr fontId="17"/>
  </si>
  <si>
    <t>魚は水気をよくふき取り、酒をふって片栗粉をまぶします。</t>
  </si>
  <si>
    <t>⑤器にご飯をおばけの形に盛り、茹でたグリンピースを目に、①の人参を口に見立てて</t>
    <phoneticPr fontId="17"/>
  </si>
  <si>
    <t>盛り付けます。まわりにルーを入れて下さい。</t>
  </si>
  <si>
    <t>④魚の上に①をのせて、再びオーブンで5分くらい（上に焦げ目がつく程度）焼き、</t>
    <phoneticPr fontId="17"/>
  </si>
  <si>
    <t>茹でて刻んだパセリを散らします。</t>
  </si>
  <si>
    <t>⑤茹でて食べやすい大きさに切ったトマトを添えて下さい。_x000D_</t>
    <phoneticPr fontId="17"/>
  </si>
  <si>
    <t>⑤茹でた野菜を添えて下さい。_x000D_</t>
    <phoneticPr fontId="17"/>
  </si>
  <si>
    <t>⑤茹でて食べやすい大きさに切ったトマトを添えて下さい。_x000D_</t>
    <phoneticPr fontId="17"/>
  </si>
  <si>
    <t>②調味料を煮立てて冷まして①を和えて下さい。_x000D_</t>
    <phoneticPr fontId="17"/>
  </si>
  <si>
    <t>玉子は茹でて粗く潰し冷まします。</t>
    <rPh sb="6" eb="7">
      <t>アラ</t>
    </rPh>
    <rPh sb="8" eb="9">
      <t>ツブ</t>
    </rPh>
    <rPh sb="10" eb="11">
      <t>サ</t>
    </rPh>
    <phoneticPr fontId="17"/>
  </si>
  <si>
    <t>☆イベントメニュー☆</t>
    <phoneticPr fontId="17"/>
  </si>
  <si>
    <t>③炊き上がったご飯をおにぎりにして、炒ったごまをまぶして下さい。_x000D_</t>
    <rPh sb="18" eb="19">
      <t>イ</t>
    </rPh>
    <phoneticPr fontId="17"/>
  </si>
  <si>
    <t>パイン缶　</t>
    <phoneticPr fontId="17"/>
  </si>
  <si>
    <t>②材料は食べやすい大きさに切って油で炒め合わせ、めんを加えてケチャップ・</t>
    <phoneticPr fontId="17"/>
  </si>
  <si>
    <t>ウスターソース・砂糖で調味します。</t>
  </si>
  <si>
    <t>②煮立て冷ました調味料・ごまで①を和えて下さい。_x000D_</t>
    <rPh sb="8" eb="11">
      <t>チョウミリョウ</t>
    </rPh>
    <phoneticPr fontId="17"/>
  </si>
  <si>
    <t>②煮立て冷ました調味料・ごまで①を和えて下さい。_x000D_</t>
    <rPh sb="1" eb="3">
      <t>ニタ</t>
    </rPh>
    <rPh sb="4" eb="5">
      <t>サ</t>
    </rPh>
    <phoneticPr fontId="17"/>
  </si>
  <si>
    <t>10月25日(金)配達/10月28日(月)食</t>
    <phoneticPr fontId="3"/>
  </si>
  <si>
    <t>パイン缶　</t>
    <phoneticPr fontId="17"/>
  </si>
  <si>
    <t>☆イベントメニュー☆</t>
    <phoneticPr fontId="17"/>
  </si>
  <si>
    <t>＜盛り付けイメージ＞</t>
    <rPh sb="1" eb="2">
      <t>モ</t>
    </rPh>
    <rPh sb="3" eb="4">
      <t>ツ</t>
    </rPh>
    <phoneticPr fontId="17"/>
  </si>
  <si>
    <t xml:space="preserve"> ＜盛り付けイメージ＞</t>
    <rPh sb="2" eb="3">
      <t>モ</t>
    </rPh>
    <rPh sb="4" eb="5">
      <t>ツ</t>
    </rPh>
    <phoneticPr fontId="17"/>
  </si>
  <si>
    <t>※原料のまま流水できれいに洗って下さい。</t>
    <phoneticPr fontId="17"/>
  </si>
  <si>
    <t>※原料のまま流水できれいに洗って下さい。</t>
    <phoneticPr fontId="17"/>
  </si>
  <si>
    <t>キッズ</t>
    <phoneticPr fontId="3"/>
  </si>
  <si>
    <t>昼食</t>
    <rPh sb="0" eb="2">
      <t>チュウショク</t>
    </rPh>
    <phoneticPr fontId="3"/>
  </si>
  <si>
    <t>３色食品群</t>
    <rPh sb="1" eb="2">
      <t>ショク</t>
    </rPh>
    <rPh sb="2" eb="5">
      <t>ショクヒングン</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</si>
  <si>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</si>
  <si>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</si>
  <si>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</si>
  <si>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</si>
  <si>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</si>
  <si>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</si>
  <si>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</si>
  <si>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火</t>
  </si>
  <si>
    <t>ごま・ごま油・ご飯・マヨネーズ・砂糖・小麦粉・油・マカロニ</t>
    <phoneticPr fontId="30"/>
  </si>
  <si>
    <t>スケソウタラ・牛乳・油揚げ・きな粉</t>
    <rPh sb="16" eb="17">
      <t>コ</t>
    </rPh>
    <phoneticPr fontId="30"/>
  </si>
  <si>
    <t>コーン・トマト・パセリ・りんご・ワカメ・玉ねぎ・人参・切干大根</t>
    <phoneticPr fontId="30"/>
  </si>
  <si>
    <t>kcal</t>
    <phoneticPr fontId="3"/>
  </si>
  <si>
    <t>木</t>
  </si>
  <si>
    <t>ご飯・じゃが芋・マヨネーズ・砂糖・油・食パン･いちごジャム</t>
    <phoneticPr fontId="30"/>
  </si>
  <si>
    <t>牛乳・玉子・豚肉</t>
    <phoneticPr fontId="30"/>
  </si>
  <si>
    <t>カットトマトパック・きゅうり・グリンピース・バナナ・玉ねぎ</t>
  </si>
  <si>
    <t>kcal</t>
  </si>
  <si>
    <t>乳・卵・小麦_x000D_
※28・※4</t>
    <phoneticPr fontId="3"/>
  </si>
  <si>
    <t>ｇ</t>
    <phoneticPr fontId="3"/>
  </si>
  <si>
    <t>マカロニきなこ</t>
    <phoneticPr fontId="30"/>
  </si>
  <si>
    <t>ジャムサンド</t>
    <phoneticPr fontId="30"/>
  </si>
  <si>
    <t>g</t>
    <phoneticPr fontId="3"/>
  </si>
  <si>
    <t>うどん・ごま油・ご飯・砂糖・油・ホットケーキミックス･黒糖</t>
    <rPh sb="27" eb="29">
      <t>コクトウ</t>
    </rPh>
    <phoneticPr fontId="30"/>
  </si>
  <si>
    <t>おから・牛乳・鶏肉・油揚げ･豆乳</t>
    <rPh sb="14" eb="16">
      <t>トウニュウ</t>
    </rPh>
    <phoneticPr fontId="30"/>
  </si>
  <si>
    <t>かぼちゃ・バナナ・ひじき・枝豆・小松菜・人参・大根</t>
    <phoneticPr fontId="30"/>
  </si>
  <si>
    <t>乳・小麦_x000D_
※14</t>
    <phoneticPr fontId="3"/>
  </si>
  <si>
    <t>18
金</t>
    <rPh sb="3" eb="4">
      <t>キン</t>
    </rPh>
    <phoneticPr fontId="3"/>
  </si>
  <si>
    <t>イベント献立</t>
    <rPh sb="4" eb="6">
      <t>コンダテ</t>
    </rPh>
    <phoneticPr fontId="3"/>
  </si>
  <si>
    <t>ヒーローライス</t>
    <phoneticPr fontId="3"/>
  </si>
  <si>
    <t>ご飯・スパゲッティ・マヨネーズ・砂糖・小麦粉・片栗粉・油・クッキー・クラッカー</t>
    <phoneticPr fontId="30"/>
  </si>
  <si>
    <t>ハム・牛乳・鶏肉・竹輪</t>
    <phoneticPr fontId="30"/>
  </si>
  <si>
    <t>オレンジ・キャベツ・きゅうり・にんにく・レーズン・玉ねぎ・人参・生姜</t>
  </si>
  <si>
    <t>kcal</t>
    <phoneticPr fontId="3"/>
  </si>
  <si>
    <t>乳・卵・小麦_x000D_
※32・※92</t>
    <phoneticPr fontId="3"/>
  </si>
  <si>
    <t>ｇ</t>
    <phoneticPr fontId="3"/>
  </si>
  <si>
    <t>黒糖入りドーナツ</t>
    <rPh sb="0" eb="2">
      <t>コクトウ</t>
    </rPh>
    <rPh sb="2" eb="3">
      <t>イ</t>
    </rPh>
    <phoneticPr fontId="30"/>
  </si>
  <si>
    <t>クッキー</t>
    <phoneticPr fontId="30"/>
  </si>
  <si>
    <t>クラッカー</t>
    <phoneticPr fontId="30"/>
  </si>
  <si>
    <t>g</t>
    <phoneticPr fontId="3"/>
  </si>
  <si>
    <t>ご飯・じゃが芋・マヨネーズ・砂糖・油・食パン・いちごジャム</t>
    <rPh sb="19" eb="20">
      <t>ショク</t>
    </rPh>
    <phoneticPr fontId="30"/>
  </si>
  <si>
    <t>牛乳・玉子・豚肉</t>
    <phoneticPr fontId="30"/>
  </si>
  <si>
    <t>カットトマトパック・きゅうり・グリンピース・りんご・玉ねぎ</t>
  </si>
  <si>
    <t>乳・卵・小麦_x000D_
※28・※4</t>
    <phoneticPr fontId="3"/>
  </si>
  <si>
    <t>月</t>
  </si>
  <si>
    <t>ご飯・じゃが芋・バター・砂糖・小麦粉・油・パイ・せんべい</t>
    <phoneticPr fontId="30"/>
  </si>
  <si>
    <t>シロイトタラ・牛乳・玉子・豚肉</t>
    <phoneticPr fontId="30"/>
  </si>
  <si>
    <t>オレンジ・コーン・ほうれん草・玉ねぎ・人参・長ねぎ</t>
  </si>
  <si>
    <t>乳・卵・小麦_x000D_
※18</t>
    <phoneticPr fontId="3"/>
  </si>
  <si>
    <t>パイ</t>
    <phoneticPr fontId="30"/>
  </si>
  <si>
    <t>せんべい</t>
    <phoneticPr fontId="30"/>
  </si>
  <si>
    <t>4
金</t>
    <rPh sb="2" eb="3">
      <t>キン</t>
    </rPh>
    <phoneticPr fontId="3"/>
  </si>
  <si>
    <t>さつま芋のコロコロおにぎり</t>
    <phoneticPr fontId="3"/>
  </si>
  <si>
    <t>ごま・ご飯・さつま芋・スパゲッティ・マヨネーズ・砂糖・小麦粉・片栗粉・油･バームクーヘン･クラッカー</t>
    <phoneticPr fontId="30"/>
  </si>
  <si>
    <t>牛乳・鶏肉</t>
    <phoneticPr fontId="30"/>
  </si>
  <si>
    <t>オレンジ・キャベツ・きゅうり・にんにく・人参・生姜</t>
  </si>
  <si>
    <t>乳・卵・小麦_x000D_
※32</t>
    <phoneticPr fontId="3"/>
  </si>
  <si>
    <t>バームクーヘン</t>
    <phoneticPr fontId="30"/>
  </si>
  <si>
    <t>クラッカー</t>
    <phoneticPr fontId="30"/>
  </si>
  <si>
    <t>さつま芋・スパゲッティ・バター・マヨネーズ・砂糖・片栗粉・油・ご飯</t>
    <rPh sb="32" eb="33">
      <t>ハン</t>
    </rPh>
    <phoneticPr fontId="30"/>
  </si>
  <si>
    <t>牛乳・鶏肉・ツナフレーク</t>
    <phoneticPr fontId="30"/>
  </si>
  <si>
    <t>きゅうり・コーン・ごぼう・パセリ・玉ねぎ・人参</t>
  </si>
  <si>
    <t>乳・卵・小麦_x000D_
※28</t>
    <phoneticPr fontId="3"/>
  </si>
  <si>
    <t>ツナとコーンのチャーハン</t>
    <phoneticPr fontId="30"/>
  </si>
  <si>
    <t>ご飯・じゃが芋・バター・砂糖・小麦粉・油</t>
  </si>
  <si>
    <t>オレンジ・コーン・ほうれん草・玉ねぎ・人参・長ねぎ・小松菜</t>
    <rPh sb="26" eb="29">
      <t>コマツナ</t>
    </rPh>
    <phoneticPr fontId="30"/>
  </si>
  <si>
    <t>雑炊</t>
    <rPh sb="0" eb="2">
      <t>ゾウスイ</t>
    </rPh>
    <phoneticPr fontId="30"/>
  </si>
  <si>
    <t>ご飯・砂糖・片栗粉・油・ホットケーキミックス</t>
    <phoneticPr fontId="30"/>
  </si>
  <si>
    <t>カラスカレイ・牛乳・玉子・油揚げ・豆乳</t>
    <rPh sb="17" eb="19">
      <t>トウニュウ</t>
    </rPh>
    <phoneticPr fontId="30"/>
  </si>
  <si>
    <t>えのき茸・オレンジ・キャベツ・しめじ・ピーマン・人参・大根・バナナ</t>
    <phoneticPr fontId="30"/>
  </si>
  <si>
    <t>バナナケーキ</t>
    <phoneticPr fontId="30"/>
  </si>
  <si>
    <t>ごま油・ご飯・砂糖・油・ホットケーキミックス・マーマレード</t>
    <phoneticPr fontId="30"/>
  </si>
  <si>
    <t>牛乳・玉子・豆腐・豚肉・豆乳</t>
    <rPh sb="12" eb="14">
      <t>トウニュウ</t>
    </rPh>
    <phoneticPr fontId="30"/>
  </si>
  <si>
    <t>えのき茸・かぶ・トマト・りんご・ワカメ・玉ねぎ・人参・白菜・万能ねぎ</t>
  </si>
  <si>
    <t>乳・卵・小麦_x000D_
※107</t>
    <phoneticPr fontId="3"/>
  </si>
  <si>
    <t>オレンジ蒸しパン</t>
    <rPh sb="4" eb="5">
      <t>ム</t>
    </rPh>
    <phoneticPr fontId="30"/>
  </si>
  <si>
    <t>金</t>
  </si>
  <si>
    <t>ごま・ご飯・パン粉・砂糖・油・ビスケット・せんべい</t>
    <phoneticPr fontId="30"/>
  </si>
  <si>
    <t>牛乳・豚肉</t>
    <phoneticPr fontId="30"/>
  </si>
  <si>
    <t>トマト・ブロッコリー・玉ねぎ・小松菜・人参・長ねぎ・白菜</t>
    <phoneticPr fontId="30"/>
  </si>
  <si>
    <t>乳・小麦_x000D_
※14・※18</t>
    <phoneticPr fontId="3"/>
  </si>
  <si>
    <t>ビスケット</t>
    <phoneticPr fontId="30"/>
  </si>
  <si>
    <t>さつま芋・スパゲッティ・バター・砂糖・片栗粉・油・ご飯</t>
    <rPh sb="26" eb="27">
      <t>ハン</t>
    </rPh>
    <phoneticPr fontId="30"/>
  </si>
  <si>
    <t>コーン・チンゲン菜・パセリ・もやし・玉ねぎ・人参</t>
  </si>
  <si>
    <t>乳・小麦_x000D_
※28</t>
    <phoneticPr fontId="3"/>
  </si>
  <si>
    <t>ご飯・じゃが芋・バター・焼ふ</t>
    <phoneticPr fontId="30"/>
  </si>
  <si>
    <t>ちりめん干し・ツナフレーク缶・牛乳・玉子・納豆・豚肉</t>
    <rPh sb="24" eb="26">
      <t>ブタニク</t>
    </rPh>
    <phoneticPr fontId="30"/>
  </si>
  <si>
    <t>ワカメ・玉ねぎ・小松菜・人参・白菜</t>
    <phoneticPr fontId="30"/>
  </si>
  <si>
    <t>乳・卵・小麦_x000D_
※15・※78</t>
    <phoneticPr fontId="3"/>
  </si>
  <si>
    <t>ｇ</t>
    <phoneticPr fontId="3"/>
  </si>
  <si>
    <t>ご飯・砂糖・片栗粉・油・ホットケーキミックス</t>
    <phoneticPr fontId="30"/>
  </si>
  <si>
    <t>カラスカレイ・ヨーグルト・牛乳・玉子・油揚げ・豆乳</t>
    <rPh sb="23" eb="25">
      <t>トウニュウ</t>
    </rPh>
    <phoneticPr fontId="30"/>
  </si>
  <si>
    <t>えのき茸・キャベツ・しめじ・ピーマン・人参・大根・バナナ</t>
    <phoneticPr fontId="30"/>
  </si>
  <si>
    <t>kcal</t>
    <phoneticPr fontId="3"/>
  </si>
  <si>
    <t>バナナケーキ</t>
    <phoneticPr fontId="30"/>
  </si>
  <si>
    <t>ごま・ごま油・ご飯・マヨネーズ・砂糖・小麦粉・油・ホットケーキミックス・マーマｔレード</t>
    <phoneticPr fontId="30"/>
  </si>
  <si>
    <t>スケソウタラ・牛乳・油揚げ・豆乳</t>
    <rPh sb="14" eb="16">
      <t>トウニュウ</t>
    </rPh>
    <phoneticPr fontId="30"/>
  </si>
  <si>
    <t>コーン・ごぼう・トマト・パセリ・りんご・玉ねぎ・人参・切干大根</t>
    <phoneticPr fontId="30"/>
  </si>
  <si>
    <t>ごま・ご飯・パン粉・砂糖・油・ウエハース・せんべい</t>
    <phoneticPr fontId="30"/>
  </si>
  <si>
    <t>牛乳・豚肉</t>
    <phoneticPr fontId="30"/>
  </si>
  <si>
    <t>トマト・ブロッコリー・玉ねぎ・小松菜・人参・長ねぎ・白菜</t>
    <phoneticPr fontId="30"/>
  </si>
  <si>
    <t>乳・小麦_x000D_
※14・※18</t>
    <phoneticPr fontId="3"/>
  </si>
  <si>
    <t>ウエハース</t>
    <phoneticPr fontId="30"/>
  </si>
  <si>
    <t>せんべい</t>
    <phoneticPr fontId="30"/>
  </si>
  <si>
    <t>うどん・ごま油・ご飯・砂糖・油・さつま芋・クラッカー</t>
    <rPh sb="19" eb="20">
      <t>イモ</t>
    </rPh>
    <phoneticPr fontId="30"/>
  </si>
  <si>
    <t>おから・牛乳・鶏肉・油揚げ</t>
    <phoneticPr fontId="30"/>
  </si>
  <si>
    <t>かぼちゃ・バナナ・ひじき・枝豆・小松菜・人参・大根・</t>
    <phoneticPr fontId="30"/>
  </si>
  <si>
    <t>乳・小麦_x000D_
※14</t>
    <phoneticPr fontId="3"/>
  </si>
  <si>
    <t>ふかし芋</t>
    <rPh sb="3" eb="4">
      <t>イモ</t>
    </rPh>
    <phoneticPr fontId="30"/>
  </si>
  <si>
    <t>クラッカー</t>
    <phoneticPr fontId="30"/>
  </si>
  <si>
    <t>ごま・ごま油・ご飯・マヨネーズ・砂糖・小麦粉・油。マカロニ</t>
    <phoneticPr fontId="30"/>
  </si>
  <si>
    <t>インゲン・カリフラワー・コーン・ごぼう・パイナップル缶・玉ねぎ・人参・切干大根</t>
    <phoneticPr fontId="30"/>
  </si>
  <si>
    <t>31
木</t>
    <rPh sb="3" eb="4">
      <t>モク</t>
    </rPh>
    <phoneticPr fontId="3"/>
  </si>
  <si>
    <t>おばけハヤシライス</t>
    <phoneticPr fontId="3"/>
  </si>
  <si>
    <t>ご飯・じゃが芋・マヨネーズ・砂糖・油・ホットケーキミックス</t>
    <phoneticPr fontId="30"/>
  </si>
  <si>
    <t>牛乳・玉子・豚肉・豆乳</t>
    <rPh sb="9" eb="11">
      <t>トウニュウ</t>
    </rPh>
    <phoneticPr fontId="30"/>
  </si>
  <si>
    <t>カットトマトパック・きゅうり・グリンピース・りんご・玉ねぎ・人参・かぼちゃ・レーズン</t>
    <phoneticPr fontId="30"/>
  </si>
  <si>
    <t>乳・卵・小麦_x000D_
※107・※4</t>
    <phoneticPr fontId="3"/>
  </si>
  <si>
    <t>マカロニきなこ</t>
    <phoneticPr fontId="30"/>
  </si>
  <si>
    <t>ハロウィンカップケーキ</t>
    <phoneticPr fontId="30"/>
  </si>
  <si>
    <t>うどん・ごま油・ご飯・砂糖・油・ホットケーキミックス・黒糖</t>
    <phoneticPr fontId="30"/>
  </si>
  <si>
    <t>おから・牛乳・鶏肉・油揚げ・豆乳</t>
    <rPh sb="14" eb="16">
      <t>トウニュウ</t>
    </rPh>
    <phoneticPr fontId="30"/>
  </si>
  <si>
    <t>かぼちゃ・ひじき・りんご・枝豆・小松菜・人参・大根</t>
    <phoneticPr fontId="30"/>
  </si>
  <si>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</si>
  <si>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</si>
  <si>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※都合により、献立を変更する場合がございます。</t>
    <rPh sb="1" eb="3">
      <t>ツゴウ</t>
    </rPh>
    <rPh sb="7" eb="9">
      <t>コンダテ</t>
    </rPh>
    <rPh sb="10" eb="12">
      <t>ヘンコウ</t>
    </rPh>
    <rPh sb="14" eb="16">
      <t>バアイ</t>
    </rPh>
    <phoneticPr fontId="3"/>
  </si>
  <si>
    <t>※4　この商品は「乳」を含む製品と同じ施設で製造しておりますが、混入を最小限に抑えるように十分に配慮して生産されております。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</si>
  <si>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</si>
  <si>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</si>
  <si>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</si>
  <si>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</si>
  <si>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※15　本製品に使用している原料魚は、えび・かにが混ざる漁法で採取しています。</t>
  </si>
  <si>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</si>
  <si>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</si>
  <si>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</si>
  <si>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</si>
  <si>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</si>
  <si>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</si>
  <si>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※18　本製品で使用している海苔は、えび・かにの生息域で採取しています。</t>
  </si>
  <si>
    <t>3～5</t>
    <phoneticPr fontId="3"/>
  </si>
  <si>
    <t>歳</t>
    <rPh sb="0" eb="1">
      <t>サイ</t>
    </rPh>
    <phoneticPr fontId="3"/>
  </si>
  <si>
    <t>585/24.1/16.2/85.5/1.8未満</t>
    <rPh sb="22" eb="24">
      <t>ミマン</t>
    </rPh>
    <phoneticPr fontId="3"/>
  </si>
  <si>
    <t>※28　小麦を使用した設備で製造しています。</t>
  </si>
  <si>
    <t>1～2</t>
    <phoneticPr fontId="3"/>
  </si>
  <si>
    <t>485/20.1/13.5/71.0/1.5未満</t>
    <rPh sb="22" eb="24">
      <t>ミマン</t>
    </rPh>
    <phoneticPr fontId="3"/>
  </si>
  <si>
    <t>※32　本商品製造工場では、小麦、乳、卵、えびを含む製品を製造しています。</t>
  </si>
  <si>
    <t>※60　本工場では小麦・乳を使用しております。</t>
  </si>
  <si>
    <t>※65　本製品で使用しているえびは、かに、いかが混ざる漁法で捕獲しています。</t>
  </si>
  <si>
    <t>※78　本品製造工場では、大豆を含む製品を製造しております。</t>
  </si>
  <si>
    <t>※92　本品工場では小麦、卵、乳、えび、いか、豚肉、ゼラチン、大豆を含む製品を製造しております</t>
  </si>
  <si>
    <t>※107　本製品工場では卵、乳、ごま、さば、大豆、鶏肉、やまいも、ゼラチンを含む製品を生産しております。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</si>
</sst>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2"/>
    <numFmt numFmtId="177" formatCode="#\ ?/4"/>
    <numFmt numFmtId="178" formatCode="#\ ?/8"/>
    <numFmt numFmtId="179" formatCode="#\ ?/6"/>
    <numFmt numFmtId="180" formatCode="#\ ?/3"/>
    <numFmt numFmtId="181" formatCode="0.0_ "/>
    <numFmt numFmtId="182" formatCode="0_ "/>
  </numFmts>
  <fonts count="32"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b/>
      <sz val="20"/>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0"/>
      <color theme="1"/>
      <name val="ＭＳ Ｐゴシック"/>
      <family val="3"/>
      <charset val="128"/>
      <scheme val="minor"/>
    </font>
  </fonts>
  <fills count="13">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D9FF"/>
        <bgColor indexed="64"/>
      </patternFill>
    </fill>
    <fill>
      <patternFill patternType="solid">
        <fgColor rgb="FFCDF2FF"/>
        <bgColor indexed="64"/>
      </patternFill>
    </fill>
    <fill>
      <patternFill patternType="solid">
        <fgColor rgb="FFC9FFC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DE9B"/>
        <bgColor indexed="64"/>
      </patternFill>
    </fill>
    <fill>
      <patternFill patternType="solid">
        <fgColor rgb="FFFFFFD1"/>
        <bgColor indexed="64"/>
      </patternFill>
    </fill>
  </fills>
  <borders count="39">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229">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2" fillId="0" borderId="5" xfId="1" applyNumberFormat="1" applyFont="1" applyBorder="1" applyAlignment="1">
      <alignment horizontal="center" vertical="center" wrapText="1"/>
    </xf>
    <xf numFmtId="0" fontId="11" fillId="0" borderId="5" xfId="1" applyFont="1" applyBorder="1" applyAlignment="1">
      <alignment horizontal="center" vertical="center" shrinkToFit="1"/>
    </xf>
    <xf numFmtId="0" fontId="11" fillId="0" borderId="5" xfId="1" applyNumberFormat="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xf>
    <xf numFmtId="0" fontId="13" fillId="0" borderId="5" xfId="1" applyNumberFormat="1" applyFont="1" applyBorder="1" applyAlignment="1">
      <alignment horizontal="center" vertical="center" wrapText="1" shrinkToFit="1"/>
    </xf>
    <xf numFmtId="0" fontId="11"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5" xfId="1" applyNumberFormat="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5" fillId="0" borderId="8" xfId="1" applyFont="1" applyBorder="1" applyAlignment="1">
      <alignment vertical="top" shrinkToFit="1"/>
    </xf>
    <xf numFmtId="0" fontId="7" fillId="0" borderId="8" xfId="1" applyFont="1" applyBorder="1" applyAlignment="1">
      <alignment vertical="center" shrinkToFit="1"/>
    </xf>
    <xf numFmtId="0" fontId="5" fillId="0" borderId="8" xfId="1" applyNumberFormat="1" applyFont="1" applyBorder="1" applyAlignment="1">
      <alignment horizontal="center" vertical="top"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178" fontId="5"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0" fontId="15" fillId="0" borderId="16" xfId="1" applyFont="1" applyBorder="1" applyAlignment="1">
      <alignment vertical="top" shrinkToFit="1"/>
    </xf>
    <xf numFmtId="0" fontId="15" fillId="0" borderId="17" xfId="1" applyFont="1" applyBorder="1" applyAlignment="1">
      <alignment vertical="top" shrinkToFit="1"/>
    </xf>
    <xf numFmtId="0" fontId="15" fillId="0" borderId="1" xfId="1" applyFont="1" applyBorder="1" applyAlignment="1">
      <alignment vertical="top" shrinkToFit="1"/>
    </xf>
    <xf numFmtId="0" fontId="15" fillId="0" borderId="18" xfId="1" applyFont="1" applyBorder="1" applyAlignment="1">
      <alignment vertical="top" shrinkToFit="1"/>
    </xf>
    <xf numFmtId="0" fontId="14" fillId="0" borderId="19" xfId="1" applyFont="1" applyBorder="1" applyAlignment="1">
      <alignment horizontal="center"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6" fillId="0" borderId="12" xfId="1" applyFont="1" applyBorder="1" applyAlignment="1">
      <alignment horizontal="center"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177" fontId="5" fillId="0" borderId="10" xfId="1" applyNumberFormat="1" applyFont="1" applyBorder="1" applyAlignment="1">
      <alignment horizontal="center" vertical="top" shrinkToFit="1"/>
    </xf>
    <xf numFmtId="179" fontId="5" fillId="0" borderId="10" xfId="1" applyNumberFormat="1" applyFont="1" applyBorder="1" applyAlignment="1">
      <alignment horizontal="center" vertical="top" shrinkToFit="1"/>
    </xf>
    <xf numFmtId="176" fontId="5" fillId="0" borderId="10" xfId="1" applyNumberFormat="1" applyFont="1" applyBorder="1" applyAlignment="1">
      <alignment horizontal="center" vertical="top" shrinkToFit="1"/>
    </xf>
    <xf numFmtId="180" fontId="5" fillId="0" borderId="10" xfId="1" applyNumberFormat="1" applyFont="1" applyBorder="1" applyAlignment="1">
      <alignment horizontal="center" vertical="top" shrinkToFit="1"/>
    </xf>
    <xf numFmtId="176" fontId="5" fillId="0" borderId="8" xfId="1" applyNumberFormat="1" applyFont="1" applyBorder="1" applyAlignment="1">
      <alignment horizontal="center" vertical="top" shrinkToFit="1"/>
    </xf>
    <xf numFmtId="0" fontId="4" fillId="0" borderId="1" xfId="1" applyFont="1" applyBorder="1" applyAlignment="1">
      <alignment vertical="top" shrinkToFit="1"/>
    </xf>
    <xf numFmtId="0" fontId="5" fillId="0" borderId="12" xfId="1" applyNumberFormat="1" applyFont="1" applyBorder="1" applyAlignment="1">
      <alignment horizontal="center" vertical="top" shrinkToFit="1"/>
    </xf>
    <xf numFmtId="0" fontId="5" fillId="0" borderId="14" xfId="1" applyNumberFormat="1" applyFont="1" applyBorder="1" applyAlignment="1">
      <alignment horizontal="center" vertical="top" shrinkToFit="1"/>
    </xf>
    <xf numFmtId="0" fontId="5" fillId="0" borderId="13" xfId="1" applyNumberFormat="1" applyFont="1" applyBorder="1" applyAlignment="1">
      <alignment horizontal="center" vertical="top" shrinkToFit="1"/>
    </xf>
    <xf numFmtId="0" fontId="5" fillId="0" borderId="15" xfId="1" applyNumberFormat="1" applyFont="1" applyBorder="1" applyAlignment="1">
      <alignment horizontal="center" vertical="top" shrinkToFit="1"/>
    </xf>
    <xf numFmtId="0" fontId="20" fillId="0" borderId="0" xfId="1" applyFont="1" applyFill="1" applyAlignment="1">
      <alignment horizontal="center" vertical="center"/>
    </xf>
    <xf numFmtId="0" fontId="20" fillId="0" borderId="0" xfId="1" applyFont="1" applyFill="1">
      <alignment vertical="center"/>
    </xf>
    <xf numFmtId="181" fontId="20" fillId="0" borderId="0" xfId="1" applyNumberFormat="1" applyFont="1" applyFill="1">
      <alignment vertical="center"/>
    </xf>
    <xf numFmtId="0" fontId="20" fillId="0" borderId="30" xfId="1" applyFont="1" applyFill="1" applyBorder="1" applyAlignment="1">
      <alignment vertical="center"/>
    </xf>
    <xf numFmtId="0" fontId="20" fillId="0" borderId="0" xfId="1" applyFont="1" applyFill="1" applyBorder="1" applyAlignment="1">
      <alignment horizontal="center" vertical="center" shrinkToFit="1"/>
    </xf>
    <xf numFmtId="0" fontId="28" fillId="0" borderId="34" xfId="1" applyFont="1" applyFill="1" applyBorder="1">
      <alignment vertical="center"/>
    </xf>
    <xf numFmtId="182" fontId="28" fillId="0" borderId="34" xfId="1" applyNumberFormat="1" applyFont="1" applyFill="1" applyBorder="1" applyAlignment="1">
      <alignment horizontal="right" vertical="center"/>
    </xf>
    <xf numFmtId="0" fontId="28" fillId="0" borderId="34" xfId="1" applyFont="1" applyFill="1" applyBorder="1" applyAlignment="1">
      <alignment horizontal="left" vertical="center"/>
    </xf>
    <xf numFmtId="0" fontId="28" fillId="0" borderId="34" xfId="1" applyFont="1" applyFill="1" applyBorder="1" applyAlignment="1">
      <alignment horizontal="left" vertical="top" shrinkToFit="1"/>
    </xf>
    <xf numFmtId="0" fontId="20" fillId="0" borderId="0" xfId="1" applyFont="1" applyFill="1" applyBorder="1" applyAlignment="1">
      <alignment horizontal="left" vertical="center"/>
    </xf>
    <xf numFmtId="0" fontId="28" fillId="6" borderId="34" xfId="1" applyFont="1" applyFill="1" applyBorder="1">
      <alignment vertical="center"/>
    </xf>
    <xf numFmtId="182" fontId="28" fillId="0" borderId="34" xfId="1" applyNumberFormat="1" applyFont="1" applyFill="1" applyBorder="1">
      <alignment vertical="center"/>
    </xf>
    <xf numFmtId="0" fontId="28" fillId="7" borderId="10" xfId="1" applyFont="1" applyFill="1" applyBorder="1">
      <alignment vertical="center"/>
    </xf>
    <xf numFmtId="181" fontId="28" fillId="0" borderId="10" xfId="1" applyNumberFormat="1" applyFont="1" applyFill="1" applyBorder="1">
      <alignment vertical="center"/>
    </xf>
    <xf numFmtId="0" fontId="28" fillId="0" borderId="10" xfId="1" applyFont="1" applyFill="1" applyBorder="1" applyAlignment="1">
      <alignment vertical="center"/>
    </xf>
    <xf numFmtId="0" fontId="28" fillId="0" borderId="10" xfId="1" applyFont="1" applyFill="1" applyBorder="1" applyAlignment="1">
      <alignment horizontal="left" vertical="top" shrinkToFit="1"/>
    </xf>
    <xf numFmtId="0" fontId="20" fillId="0" borderId="0" xfId="1" applyFont="1" applyFill="1" applyBorder="1" applyAlignment="1">
      <alignment vertical="center"/>
    </xf>
    <xf numFmtId="0" fontId="28" fillId="0" borderId="10" xfId="1" applyFont="1" applyFill="1" applyBorder="1">
      <alignment vertical="center"/>
    </xf>
    <xf numFmtId="0" fontId="28" fillId="0" borderId="9" xfId="1" applyFont="1" applyFill="1" applyBorder="1">
      <alignment vertical="center"/>
    </xf>
    <xf numFmtId="181" fontId="28" fillId="0" borderId="9" xfId="1" applyNumberFormat="1" applyFont="1" applyFill="1" applyBorder="1">
      <alignment vertical="center"/>
    </xf>
    <xf numFmtId="0" fontId="28" fillId="0" borderId="9" xfId="1" applyFont="1" applyFill="1" applyBorder="1" applyAlignment="1">
      <alignment vertical="center"/>
    </xf>
    <xf numFmtId="0" fontId="28" fillId="0" borderId="9" xfId="1" applyFont="1" applyFill="1" applyBorder="1" applyAlignment="1">
      <alignment horizontal="left" vertical="top" shrinkToFit="1"/>
    </xf>
    <xf numFmtId="0" fontId="28" fillId="8" borderId="34" xfId="1" applyFont="1" applyFill="1" applyBorder="1" applyAlignment="1">
      <alignment horizontal="left" vertical="center"/>
    </xf>
    <xf numFmtId="0" fontId="20" fillId="0" borderId="0" xfId="1" applyFont="1" applyFill="1" applyBorder="1">
      <alignment vertical="center"/>
    </xf>
    <xf numFmtId="0" fontId="28" fillId="6" borderId="10" xfId="1" applyFont="1" applyFill="1" applyBorder="1">
      <alignment vertical="center"/>
    </xf>
    <xf numFmtId="0" fontId="28" fillId="0" borderId="0" xfId="1" applyFont="1" applyFill="1">
      <alignment vertical="center"/>
    </xf>
    <xf numFmtId="0" fontId="28" fillId="10" borderId="35" xfId="1" applyFont="1" applyFill="1" applyBorder="1" applyAlignment="1">
      <alignment vertical="center"/>
    </xf>
    <xf numFmtId="0" fontId="28" fillId="10" borderId="36" xfId="1" applyFont="1" applyFill="1" applyBorder="1" applyAlignment="1">
      <alignment horizontal="center" vertical="center" textRotation="255" shrinkToFit="1"/>
    </xf>
    <xf numFmtId="0" fontId="28" fillId="10" borderId="36" xfId="1" applyFont="1" applyFill="1" applyBorder="1">
      <alignment vertical="center"/>
    </xf>
    <xf numFmtId="0" fontId="29" fillId="10" borderId="36" xfId="1" applyFont="1" applyFill="1" applyBorder="1" applyAlignment="1">
      <alignment horizontal="left" vertical="top" wrapText="1"/>
    </xf>
    <xf numFmtId="181" fontId="28" fillId="10" borderId="36" xfId="1" applyNumberFormat="1" applyFont="1" applyFill="1" applyBorder="1">
      <alignment vertical="center"/>
    </xf>
    <xf numFmtId="0" fontId="28" fillId="10" borderId="36" xfId="3" applyFont="1" applyFill="1" applyBorder="1" applyAlignment="1">
      <alignment horizontal="left" vertical="top" wrapText="1"/>
    </xf>
    <xf numFmtId="0" fontId="28" fillId="10" borderId="37" xfId="1" applyFont="1" applyFill="1" applyBorder="1" applyAlignment="1">
      <alignment horizontal="left" vertical="top" shrinkToFit="1"/>
    </xf>
    <xf numFmtId="0" fontId="28" fillId="10" borderId="20" xfId="1" applyFont="1" applyFill="1" applyBorder="1" applyAlignment="1">
      <alignment vertical="center"/>
    </xf>
    <xf numFmtId="0" fontId="28" fillId="10" borderId="38" xfId="1" applyFont="1" applyFill="1" applyBorder="1" applyAlignment="1">
      <alignment horizontal="center" vertical="center" textRotation="255" shrinkToFit="1"/>
    </xf>
    <xf numFmtId="0" fontId="28" fillId="10" borderId="38" xfId="1" applyFont="1" applyFill="1" applyBorder="1">
      <alignment vertical="center"/>
    </xf>
    <xf numFmtId="0" fontId="29" fillId="10" borderId="38" xfId="1" applyFont="1" applyFill="1" applyBorder="1" applyAlignment="1">
      <alignment horizontal="left" vertical="top" wrapText="1"/>
    </xf>
    <xf numFmtId="181" fontId="28" fillId="10" borderId="38" xfId="1" applyNumberFormat="1" applyFont="1" applyFill="1" applyBorder="1">
      <alignment vertical="center"/>
    </xf>
    <xf numFmtId="0" fontId="28" fillId="10" borderId="38" xfId="3" applyFont="1" applyFill="1" applyBorder="1" applyAlignment="1">
      <alignment horizontal="left" vertical="top" wrapText="1"/>
    </xf>
    <xf numFmtId="0" fontId="28" fillId="10" borderId="17" xfId="1" applyFont="1" applyFill="1" applyBorder="1" applyAlignment="1">
      <alignment horizontal="left" vertical="top" shrinkToFit="1"/>
    </xf>
    <xf numFmtId="0" fontId="28" fillId="8" borderId="34" xfId="1" applyFont="1" applyFill="1" applyBorder="1">
      <alignment vertical="center"/>
    </xf>
    <xf numFmtId="182" fontId="28" fillId="0" borderId="10" xfId="1" applyNumberFormat="1" applyFont="1" applyFill="1" applyBorder="1">
      <alignment vertical="center"/>
    </xf>
    <xf numFmtId="0" fontId="28" fillId="0" borderId="10" xfId="1" applyFont="1" applyFill="1" applyBorder="1" applyAlignment="1">
      <alignment horizontal="left" vertical="center"/>
    </xf>
    <xf numFmtId="0" fontId="28" fillId="11" borderId="10" xfId="1" applyFont="1" applyFill="1" applyBorder="1">
      <alignment vertical="center"/>
    </xf>
    <xf numFmtId="0" fontId="28" fillId="0" borderId="34" xfId="1" applyFont="1" applyFill="1" applyBorder="1" applyAlignment="1">
      <alignment vertical="center" shrinkToFit="1"/>
    </xf>
    <xf numFmtId="0" fontId="28" fillId="12" borderId="10" xfId="1" applyFont="1" applyFill="1" applyBorder="1">
      <alignment vertical="center"/>
    </xf>
    <xf numFmtId="0" fontId="28" fillId="0" borderId="0" xfId="3" applyFont="1" applyFill="1" applyBorder="1" applyAlignment="1">
      <alignment vertical="center"/>
    </xf>
    <xf numFmtId="0" fontId="28" fillId="0" borderId="0" xfId="1" applyFont="1" applyFill="1" applyBorder="1" applyAlignment="1">
      <alignment horizontal="left" vertical="center" wrapText="1"/>
    </xf>
    <xf numFmtId="0" fontId="28" fillId="0" borderId="0" xfId="1" applyFont="1" applyFill="1" applyBorder="1" applyAlignment="1">
      <alignment horizontal="left" vertical="center"/>
    </xf>
    <xf numFmtId="0" fontId="28" fillId="0" borderId="0" xfId="1" applyFont="1" applyFill="1" applyBorder="1" applyAlignment="1">
      <alignment horizontal="center" vertical="center"/>
    </xf>
    <xf numFmtId="0" fontId="28" fillId="0" borderId="0" xfId="1" applyFont="1" applyFill="1" applyBorder="1" applyAlignment="1">
      <alignment vertical="center"/>
    </xf>
    <xf numFmtId="0" fontId="28" fillId="0" borderId="0" xfId="1" applyFont="1" applyFill="1" applyBorder="1" applyAlignment="1">
      <alignment horizontal="left" vertical="top"/>
    </xf>
    <xf numFmtId="0" fontId="20" fillId="0" borderId="0" xfId="1" applyFont="1" applyFill="1" applyBorder="1" applyAlignment="1">
      <alignment vertical="center" wrapText="1"/>
    </xf>
    <xf numFmtId="0" fontId="28" fillId="0" borderId="30" xfId="1" applyFont="1" applyFill="1" applyBorder="1" applyAlignment="1">
      <alignment horizontal="center" vertical="center" shrinkToFit="1"/>
    </xf>
    <xf numFmtId="0" fontId="28" fillId="0" borderId="9" xfId="1" applyFont="1" applyFill="1" applyBorder="1" applyAlignment="1">
      <alignment horizontal="center" vertical="center"/>
    </xf>
    <xf numFmtId="0" fontId="28" fillId="0" borderId="30" xfId="1" applyFont="1" applyFill="1" applyBorder="1" applyAlignment="1">
      <alignment horizontal="center" vertical="center"/>
    </xf>
    <xf numFmtId="0" fontId="20" fillId="0" borderId="0" xfId="1" applyFont="1" applyFill="1" applyBorder="1" applyAlignment="1">
      <alignment vertical="top" wrapText="1"/>
    </xf>
    <xf numFmtId="0" fontId="20" fillId="0" borderId="0" xfId="1" applyFont="1" applyFill="1" applyBorder="1" applyAlignment="1">
      <alignment horizontal="left" vertical="top" wrapText="1"/>
    </xf>
    <xf numFmtId="0" fontId="28" fillId="0" borderId="31" xfId="1" applyFont="1" applyFill="1" applyBorder="1" applyAlignment="1">
      <alignment horizontal="center" vertical="center"/>
    </xf>
    <xf numFmtId="0" fontId="28" fillId="0" borderId="33" xfId="1" applyFont="1" applyFill="1" applyBorder="1">
      <alignment vertical="center"/>
    </xf>
    <xf numFmtId="182" fontId="28" fillId="0" borderId="30" xfId="1" applyNumberFormat="1" applyFont="1" applyFill="1" applyBorder="1" applyAlignment="1">
      <alignment horizontal="center" vertical="center"/>
    </xf>
    <xf numFmtId="181" fontId="28" fillId="0" borderId="30" xfId="1" applyNumberFormat="1" applyFont="1" applyFill="1" applyBorder="1" applyAlignment="1">
      <alignment horizontal="center" vertical="center"/>
    </xf>
    <xf numFmtId="181" fontId="20" fillId="0" borderId="30" xfId="1" applyNumberFormat="1" applyFont="1" applyFill="1" applyBorder="1" applyAlignment="1">
      <alignment horizontal="center" vertical="center"/>
    </xf>
    <xf numFmtId="0" fontId="20" fillId="0" borderId="0" xfId="1" applyFont="1" applyFill="1" applyAlignment="1">
      <alignment horizontal="left" vertical="center"/>
    </xf>
    <xf numFmtId="0" fontId="20" fillId="0" borderId="36" xfId="1" applyFont="1" applyFill="1" applyBorder="1" applyAlignment="1">
      <alignment horizontal="center" vertical="center"/>
    </xf>
    <xf numFmtId="0" fontId="20" fillId="0" borderId="36" xfId="1" applyFont="1" applyFill="1" applyBorder="1">
      <alignment vertical="center"/>
    </xf>
    <xf numFmtId="0" fontId="20" fillId="0" borderId="36" xfId="1" applyFont="1" applyFill="1" applyBorder="1" applyAlignment="1">
      <alignment horizontal="center" vertical="center" shrinkToFit="1"/>
    </xf>
    <xf numFmtId="182" fontId="20" fillId="0" borderId="36" xfId="1" applyNumberFormat="1" applyFont="1" applyFill="1" applyBorder="1" applyAlignment="1">
      <alignment horizontal="center" vertical="center"/>
    </xf>
    <xf numFmtId="181" fontId="20" fillId="0" borderId="36" xfId="1" applyNumberFormat="1" applyFont="1" applyFill="1" applyBorder="1" applyAlignment="1">
      <alignment horizontal="center" vertical="center"/>
    </xf>
    <xf numFmtId="181" fontId="20" fillId="0" borderId="0" xfId="1" applyNumberFormat="1" applyFont="1" applyFill="1" applyBorder="1">
      <alignment vertical="center"/>
    </xf>
    <xf numFmtId="0" fontId="20" fillId="0" borderId="36" xfId="1" applyFont="1" applyFill="1" applyBorder="1" applyAlignment="1">
      <alignment horizontal="left" vertical="center" shrinkToFit="1"/>
    </xf>
    <xf numFmtId="0" fontId="28" fillId="0" borderId="30" xfId="1" applyFont="1" applyFill="1" applyBorder="1" applyAlignment="1">
      <alignment horizontal="center" vertical="center"/>
    </xf>
    <xf numFmtId="0" fontId="28" fillId="0" borderId="31" xfId="1" applyFont="1" applyFill="1" applyBorder="1" applyAlignment="1">
      <alignment horizontal="center" vertical="center"/>
    </xf>
    <xf numFmtId="0" fontId="28" fillId="0" borderId="32" xfId="1" applyFont="1" applyFill="1" applyBorder="1" applyAlignment="1">
      <alignment horizontal="center" vertical="center"/>
    </xf>
    <xf numFmtId="0" fontId="28" fillId="0" borderId="33" xfId="1" applyFont="1" applyFill="1" applyBorder="1" applyAlignment="1">
      <alignment horizontal="center" vertical="center"/>
    </xf>
    <xf numFmtId="181" fontId="28" fillId="0" borderId="30" xfId="1" applyNumberFormat="1" applyFont="1" applyFill="1" applyBorder="1" applyAlignment="1">
      <alignment horizontal="center" vertical="center"/>
    </xf>
    <xf numFmtId="0" fontId="28" fillId="0" borderId="30" xfId="1" applyFont="1" applyFill="1" applyBorder="1" applyAlignment="1">
      <alignment vertical="center"/>
    </xf>
    <xf numFmtId="0" fontId="29" fillId="0" borderId="30" xfId="1" applyFont="1" applyFill="1" applyBorder="1" applyAlignment="1">
      <alignment horizontal="left" vertical="top" wrapText="1"/>
    </xf>
    <xf numFmtId="0" fontId="28" fillId="0" borderId="34" xfId="3" applyFont="1" applyFill="1" applyBorder="1" applyAlignment="1">
      <alignment horizontal="left" vertical="top" wrapText="1"/>
    </xf>
    <xf numFmtId="0" fontId="28" fillId="0" borderId="10" xfId="3" applyFont="1" applyFill="1" applyBorder="1" applyAlignment="1">
      <alignment horizontal="left" vertical="top" wrapText="1"/>
    </xf>
    <xf numFmtId="0" fontId="28" fillId="0" borderId="9" xfId="3" applyFont="1" applyFill="1" applyBorder="1" applyAlignment="1">
      <alignment horizontal="left" vertical="top" wrapText="1"/>
    </xf>
    <xf numFmtId="0" fontId="28" fillId="9" borderId="30" xfId="1" applyFont="1" applyFill="1" applyBorder="1" applyAlignment="1">
      <alignment horizontal="center" vertical="center" wrapText="1"/>
    </xf>
    <xf numFmtId="0" fontId="28" fillId="9" borderId="30" xfId="1" applyFont="1" applyFill="1" applyBorder="1" applyAlignment="1">
      <alignment vertical="center"/>
    </xf>
    <xf numFmtId="0" fontId="28" fillId="9" borderId="30" xfId="1" applyFont="1" applyFill="1" applyBorder="1" applyAlignment="1">
      <alignment horizontal="center" vertical="center" textRotation="255" shrinkToFit="1"/>
    </xf>
    <xf numFmtId="0" fontId="28" fillId="0" borderId="30" xfId="1" applyFont="1" applyFill="1" applyBorder="1" applyAlignment="1">
      <alignment horizontal="center" vertical="center" wrapText="1"/>
    </xf>
    <xf numFmtId="0" fontId="28" fillId="0" borderId="30" xfId="1" applyFont="1" applyFill="1" applyBorder="1" applyAlignment="1">
      <alignment horizontal="center" vertical="center" textRotation="255"/>
    </xf>
    <xf numFmtId="0" fontId="29" fillId="0" borderId="34" xfId="1" applyFont="1" applyFill="1" applyBorder="1" applyAlignment="1">
      <alignment horizontal="left" vertical="top" wrapText="1"/>
    </xf>
    <xf numFmtId="0" fontId="29" fillId="0" borderId="10" xfId="1" applyFont="1" applyFill="1" applyBorder="1" applyAlignment="1">
      <alignment horizontal="left" vertical="top" wrapText="1"/>
    </xf>
    <xf numFmtId="0" fontId="29" fillId="0" borderId="9" xfId="1" applyFont="1" applyFill="1" applyBorder="1" applyAlignment="1">
      <alignment horizontal="left" vertical="top" wrapText="1"/>
    </xf>
    <xf numFmtId="0" fontId="28" fillId="0" borderId="30" xfId="1" applyFont="1" applyFill="1" applyBorder="1" applyAlignment="1">
      <alignment horizontal="center" vertical="center" textRotation="255" shrinkToFit="1"/>
    </xf>
    <xf numFmtId="0" fontId="8" fillId="0" borderId="30" xfId="1" applyFont="1" applyFill="1" applyBorder="1" applyAlignment="1">
      <alignment horizontal="left" vertical="top" wrapText="1"/>
    </xf>
    <xf numFmtId="0" fontId="28" fillId="0" borderId="30" xfId="1" applyFont="1" applyFill="1" applyBorder="1" applyAlignment="1">
      <alignment vertical="center" textRotation="255"/>
    </xf>
    <xf numFmtId="0" fontId="28" fillId="0" borderId="9" xfId="1" applyFont="1" applyFill="1" applyBorder="1" applyAlignment="1">
      <alignment horizontal="center" vertical="center"/>
    </xf>
    <xf numFmtId="0" fontId="28" fillId="0" borderId="9" xfId="1" applyFont="1" applyFill="1" applyBorder="1" applyAlignment="1">
      <alignment horizontal="center" vertical="center" textRotation="255" shrinkToFit="1"/>
    </xf>
    <xf numFmtId="0" fontId="28" fillId="9" borderId="34" xfId="1" applyFont="1" applyFill="1" applyBorder="1" applyAlignment="1">
      <alignment vertical="center"/>
    </xf>
    <xf numFmtId="0" fontId="28" fillId="9" borderId="34" xfId="1" applyFont="1" applyFill="1" applyBorder="1" applyAlignment="1">
      <alignment horizontal="center" vertical="center" textRotation="255" shrinkToFit="1"/>
    </xf>
    <xf numFmtId="0" fontId="28" fillId="0" borderId="30" xfId="1" applyFont="1" applyFill="1" applyBorder="1" applyAlignment="1">
      <alignment vertical="center" wrapText="1"/>
    </xf>
    <xf numFmtId="0" fontId="28" fillId="0" borderId="34" xfId="1" applyFont="1" applyFill="1" applyBorder="1" applyAlignment="1">
      <alignment horizontal="center" vertical="center" textRotation="255" wrapText="1"/>
    </xf>
    <xf numFmtId="0" fontId="31" fillId="0" borderId="10" xfId="0" applyFont="1" applyFill="1" applyBorder="1" applyAlignment="1">
      <alignment horizontal="center" vertical="center" textRotation="255" wrapText="1"/>
    </xf>
    <xf numFmtId="0" fontId="31" fillId="0" borderId="9" xfId="0" applyFont="1" applyFill="1" applyBorder="1" applyAlignment="1">
      <alignment horizontal="center" vertical="center" textRotation="255" wrapText="1"/>
    </xf>
    <xf numFmtId="0" fontId="20" fillId="3" borderId="30" xfId="1" applyFont="1" applyFill="1" applyBorder="1" applyAlignment="1">
      <alignment horizontal="center" wrapText="1" shrinkToFit="1"/>
    </xf>
    <xf numFmtId="0" fontId="20" fillId="4" borderId="30" xfId="1" applyFont="1" applyFill="1" applyBorder="1" applyAlignment="1">
      <alignment horizontal="center" wrapText="1" shrinkToFit="1"/>
    </xf>
    <xf numFmtId="0" fontId="20" fillId="5" borderId="30" xfId="1" applyFont="1" applyFill="1" applyBorder="1" applyAlignment="1">
      <alignment horizontal="center" wrapText="1" shrinkToFit="1"/>
    </xf>
    <xf numFmtId="0" fontId="26" fillId="0" borderId="2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20" fillId="0" borderId="10" xfId="3" applyFont="1" applyBorder="1" applyAlignment="1">
      <alignment horizontal="center" wrapText="1" shrinkToFit="1"/>
    </xf>
    <xf numFmtId="0" fontId="20" fillId="0" borderId="9" xfId="3" applyFont="1" applyBorder="1" applyAlignment="1">
      <alignment horizontal="center" wrapText="1" shrinkToFit="1"/>
    </xf>
    <xf numFmtId="0" fontId="20" fillId="0" borderId="34" xfId="1" applyFont="1" applyFill="1" applyBorder="1" applyAlignment="1">
      <alignment horizontal="center" vertical="center" shrinkToFit="1"/>
    </xf>
    <xf numFmtId="0" fontId="20" fillId="0" borderId="10"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23" fillId="0" borderId="30" xfId="1" applyFont="1" applyFill="1" applyBorder="1" applyAlignment="1">
      <alignment horizontal="center" vertical="center" textRotation="255"/>
    </xf>
    <xf numFmtId="0" fontId="24" fillId="0" borderId="30" xfId="1" applyFont="1" applyFill="1" applyBorder="1" applyAlignment="1">
      <alignment horizontal="left" vertical="center"/>
    </xf>
    <xf numFmtId="0" fontId="20" fillId="0" borderId="30" xfId="1" applyFont="1" applyFill="1" applyBorder="1" applyAlignment="1">
      <alignment horizontal="center" vertical="center"/>
    </xf>
    <xf numFmtId="0" fontId="25" fillId="0" borderId="31"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25" fillId="0" borderId="33" xfId="1" applyFont="1" applyFill="1" applyBorder="1" applyAlignment="1">
      <alignment horizontal="center" vertical="center" wrapText="1"/>
    </xf>
    <xf numFmtId="0" fontId="20" fillId="3" borderId="34" xfId="1" applyFont="1" applyFill="1" applyBorder="1" applyAlignment="1">
      <alignment horizontal="center" wrapText="1" shrinkToFit="1"/>
    </xf>
    <xf numFmtId="0" fontId="20" fillId="3" borderId="10" xfId="1" applyFont="1" applyFill="1" applyBorder="1" applyAlignment="1">
      <alignment horizontal="center" wrapText="1" shrinkToFit="1"/>
    </xf>
    <xf numFmtId="0" fontId="20" fillId="3" borderId="9" xfId="1" applyFont="1" applyFill="1" applyBorder="1" applyAlignment="1">
      <alignment horizontal="center" wrapText="1" shrinkToFit="1"/>
    </xf>
    <xf numFmtId="0" fontId="20" fillId="4" borderId="34" xfId="1" applyFont="1" applyFill="1" applyBorder="1" applyAlignment="1">
      <alignment horizontal="center" wrapText="1" shrinkToFit="1"/>
    </xf>
    <xf numFmtId="0" fontId="20" fillId="4" borderId="10" xfId="1" applyFont="1" applyFill="1" applyBorder="1" applyAlignment="1">
      <alignment horizontal="center" wrapText="1" shrinkToFit="1"/>
    </xf>
    <xf numFmtId="0" fontId="20" fillId="4" borderId="9" xfId="1" applyFont="1" applyFill="1" applyBorder="1" applyAlignment="1">
      <alignment horizontal="center" wrapText="1" shrinkToFit="1"/>
    </xf>
    <xf numFmtId="0" fontId="20" fillId="5" borderId="34" xfId="1" applyFont="1" applyFill="1" applyBorder="1" applyAlignment="1">
      <alignment horizontal="center" wrapText="1" shrinkToFit="1"/>
    </xf>
    <xf numFmtId="0" fontId="20" fillId="5" borderId="10" xfId="1" applyFont="1" applyFill="1" applyBorder="1" applyAlignment="1">
      <alignment horizontal="center" wrapText="1" shrinkToFit="1"/>
    </xf>
    <xf numFmtId="0" fontId="20" fillId="5" borderId="9" xfId="1" applyFont="1" applyFill="1" applyBorder="1" applyAlignment="1">
      <alignment horizontal="center" wrapText="1" shrinkToFit="1"/>
    </xf>
    <xf numFmtId="0" fontId="22" fillId="2" borderId="30" xfId="1" applyFont="1" applyFill="1" applyBorder="1" applyAlignment="1">
      <alignment horizontal="center" vertical="center" textRotation="255" shrinkToFit="1"/>
    </xf>
    <xf numFmtId="0" fontId="20" fillId="0" borderId="31" xfId="1" applyFont="1" applyFill="1" applyBorder="1" applyAlignment="1">
      <alignment horizontal="center" vertical="center"/>
    </xf>
    <xf numFmtId="0" fontId="20" fillId="0" borderId="32" xfId="1" applyFont="1" applyFill="1" applyBorder="1" applyAlignment="1">
      <alignment horizontal="center" vertical="center"/>
    </xf>
    <xf numFmtId="0" fontId="20" fillId="0" borderId="33" xfId="1" applyFont="1" applyFill="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18" fillId="0" borderId="0" xfId="1" applyFont="1" applyAlignment="1">
      <alignment horizontal="center" vertical="center" shrinkToFit="1"/>
    </xf>
    <xf numFmtId="0" fontId="7" fillId="0" borderId="0" xfId="1" applyFont="1" applyAlignment="1">
      <alignment horizontal="center" vertical="center" shrinkToFit="1"/>
    </xf>
    <xf numFmtId="0" fontId="15" fillId="0" borderId="0" xfId="1" applyFont="1" applyAlignment="1">
      <alignment horizontal="center" vertical="center" shrinkToFit="1"/>
    </xf>
    <xf numFmtId="0" fontId="1" fillId="0" borderId="0" xfId="1" applyFont="1" applyAlignment="1">
      <alignment horizontal="center" vertical="center" shrinkToFit="1"/>
    </xf>
  </cellXfs>
  <cellStyles count="4">
    <cellStyle name="標準" xfId="0" builtinId="0"/>
    <cellStyle name="標準 2" xfId="1"/>
    <cellStyle name="標準 2 16"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xdr:from>
      <xdr:col>9</xdr:col>
      <xdr:colOff>154781</xdr:colOff>
      <xdr:row>65</xdr:row>
      <xdr:rowOff>157164</xdr:rowOff>
    </xdr:from>
    <xdr:to>
      <xdr:col>10</xdr:col>
      <xdr:colOff>11906</xdr:colOff>
      <xdr:row>70</xdr:row>
      <xdr:rowOff>59532</xdr:rowOff>
    </xdr:to>
    <xdr:grpSp>
      <xdr:nvGrpSpPr>
        <xdr:cNvPr id="2" name="グループ化 17"/>
        <xdr:cNvGrpSpPr>
          <a:grpSpLocks/>
        </xdr:cNvGrpSpPr>
      </xdr:nvGrpSpPr>
      <xdr:grpSpPr bwMode="auto">
        <a:xfrm>
          <a:off x="8012906" y="11063289"/>
          <a:ext cx="1047750" cy="696118"/>
          <a:chOff x="5094162" y="13729221"/>
          <a:chExt cx="1685722" cy="823040"/>
        </a:xfrm>
      </xdr:grpSpPr>
      <xdr:sp macro="" textlink="">
        <xdr:nvSpPr>
          <xdr:cNvPr id="3" name="テキスト ボックス 2"/>
          <xdr:cNvSpPr txBox="1"/>
        </xdr:nvSpPr>
        <xdr:spPr bwMode="auto">
          <a:xfrm>
            <a:off x="5094162" y="13838299"/>
            <a:ext cx="1685722" cy="6346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685889</xdr:colOff>
      <xdr:row>0</xdr:row>
      <xdr:rowOff>319516</xdr:rowOff>
    </xdr:from>
    <xdr:to>
      <xdr:col>9</xdr:col>
      <xdr:colOff>1025572</xdr:colOff>
      <xdr:row>2</xdr:row>
      <xdr:rowOff>60082</xdr:rowOff>
    </xdr:to>
    <xdr:pic>
      <xdr:nvPicPr>
        <xdr:cNvPr id="6"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89" y="319516"/>
          <a:ext cx="339683" cy="645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44823</xdr:colOff>
      <xdr:row>0</xdr:row>
      <xdr:rowOff>119063</xdr:rowOff>
    </xdr:from>
    <xdr:to>
      <xdr:col>11</xdr:col>
      <xdr:colOff>267181</xdr:colOff>
      <xdr:row>1</xdr:row>
      <xdr:rowOff>64703</xdr:rowOff>
    </xdr:to>
    <xdr:pic>
      <xdr:nvPicPr>
        <xdr:cNvPr id="7" name="図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4048" y="119063"/>
          <a:ext cx="393808" cy="688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1442889</xdr:colOff>
      <xdr:row>23</xdr:row>
      <xdr:rowOff>30178</xdr:rowOff>
    </xdr:from>
    <xdr:to>
      <xdr:col>2</xdr:col>
      <xdr:colOff>1902018</xdr:colOff>
      <xdr:row>26</xdr:row>
      <xdr:rowOff>17048</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42964" y="4335478"/>
          <a:ext cx="459129" cy="472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1672542</xdr:colOff>
      <xdr:row>11</xdr:row>
      <xdr:rowOff>94353</xdr:rowOff>
    </xdr:from>
    <xdr:to>
      <xdr:col>13</xdr:col>
      <xdr:colOff>1967696</xdr:colOff>
      <xdr:row>15</xdr:row>
      <xdr:rowOff>150474</xdr:rowOff>
    </xdr:to>
    <xdr:pic>
      <xdr:nvPicPr>
        <xdr:cNvPr id="9" name="図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83292" y="2456553"/>
          <a:ext cx="295154" cy="703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723276</xdr:colOff>
      <xdr:row>71</xdr:row>
      <xdr:rowOff>93797</xdr:rowOff>
    </xdr:from>
    <xdr:to>
      <xdr:col>9</xdr:col>
      <xdr:colOff>1043027</xdr:colOff>
      <xdr:row>75</xdr:row>
      <xdr:rowOff>44499</xdr:rowOff>
    </xdr:to>
    <xdr:pic>
      <xdr:nvPicPr>
        <xdr:cNvPr id="10" name="図 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571876" y="12171497"/>
          <a:ext cx="319751" cy="598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219495</xdr:colOff>
      <xdr:row>0</xdr:row>
      <xdr:rowOff>87312</xdr:rowOff>
    </xdr:from>
    <xdr:to>
      <xdr:col>20</xdr:col>
      <xdr:colOff>1095376</xdr:colOff>
      <xdr:row>4</xdr:row>
      <xdr:rowOff>124125</xdr:rowOff>
    </xdr:to>
    <xdr:grpSp>
      <xdr:nvGrpSpPr>
        <xdr:cNvPr id="11" name="グループ化 13"/>
        <xdr:cNvGrpSpPr>
          <a:grpSpLocks/>
        </xdr:cNvGrpSpPr>
      </xdr:nvGrpSpPr>
      <xdr:grpSpPr bwMode="auto">
        <a:xfrm>
          <a:off x="568745" y="87312"/>
          <a:ext cx="17624006" cy="1259188"/>
          <a:chOff x="620806" y="0"/>
          <a:chExt cx="20656255" cy="1171015"/>
        </a:xfrm>
      </xdr:grpSpPr>
      <xdr:pic>
        <xdr:nvPicPr>
          <xdr:cNvPr id="12" name="図 1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20806" y="56030"/>
            <a:ext cx="716742" cy="608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41395" y="67236"/>
            <a:ext cx="928968" cy="669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55276" y="393327"/>
            <a:ext cx="1611153" cy="710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2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726392" y="22411"/>
            <a:ext cx="1126192" cy="568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2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211171" y="0"/>
            <a:ext cx="899605" cy="392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2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508375" y="56030"/>
            <a:ext cx="432581" cy="358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2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097807" y="134472"/>
            <a:ext cx="605117" cy="245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2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735117" y="0"/>
            <a:ext cx="512109" cy="530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25"/>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744386" y="0"/>
            <a:ext cx="421719" cy="449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26"/>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236509" y="100852"/>
            <a:ext cx="1064559" cy="319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7"/>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649636" y="56030"/>
            <a:ext cx="1449155" cy="111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28"/>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855386" y="365311"/>
            <a:ext cx="421719" cy="440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29"/>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rot="-5400000">
            <a:off x="11656918" y="72467"/>
            <a:ext cx="434045" cy="445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30"/>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7565222" y="0"/>
            <a:ext cx="1198791" cy="635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31"/>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259486" y="0"/>
            <a:ext cx="432020" cy="664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32"/>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5447309" y="89648"/>
            <a:ext cx="526677" cy="316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33"/>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6439030" y="0"/>
            <a:ext cx="840440" cy="366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34"/>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9583400" y="0"/>
            <a:ext cx="774302" cy="460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3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923374" y="56030"/>
            <a:ext cx="434821" cy="358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36"/>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0947235" y="10851"/>
            <a:ext cx="329826" cy="527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1127231</xdr:colOff>
      <xdr:row>72</xdr:row>
      <xdr:rowOff>67993</xdr:rowOff>
    </xdr:from>
    <xdr:to>
      <xdr:col>7</xdr:col>
      <xdr:colOff>23537</xdr:colOff>
      <xdr:row>77</xdr:row>
      <xdr:rowOff>27706</xdr:rowOff>
    </xdr:to>
    <xdr:pic>
      <xdr:nvPicPr>
        <xdr:cNvPr id="32" name="図 42"/>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137381" y="12307618"/>
          <a:ext cx="620331" cy="769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661206</xdr:colOff>
      <xdr:row>74</xdr:row>
      <xdr:rowOff>142378</xdr:rowOff>
    </xdr:from>
    <xdr:to>
      <xdr:col>2</xdr:col>
      <xdr:colOff>1622906</xdr:colOff>
      <xdr:row>78</xdr:row>
      <xdr:rowOff>119990</xdr:rowOff>
    </xdr:to>
    <xdr:pic>
      <xdr:nvPicPr>
        <xdr:cNvPr id="33" name="図 45"/>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261281" y="12705853"/>
          <a:ext cx="961700" cy="62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462931</xdr:colOff>
      <xdr:row>69</xdr:row>
      <xdr:rowOff>79485</xdr:rowOff>
    </xdr:from>
    <xdr:to>
      <xdr:col>3</xdr:col>
      <xdr:colOff>509049</xdr:colOff>
      <xdr:row>75</xdr:row>
      <xdr:rowOff>143586</xdr:rowOff>
    </xdr:to>
    <xdr:pic>
      <xdr:nvPicPr>
        <xdr:cNvPr id="34" name="図 46"/>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063006" y="11833335"/>
          <a:ext cx="2074943" cy="1035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222287</xdr:colOff>
      <xdr:row>70</xdr:row>
      <xdr:rowOff>110782</xdr:rowOff>
    </xdr:from>
    <xdr:to>
      <xdr:col>9</xdr:col>
      <xdr:colOff>205409</xdr:colOff>
      <xdr:row>77</xdr:row>
      <xdr:rowOff>47389</xdr:rowOff>
    </xdr:to>
    <xdr:pic>
      <xdr:nvPicPr>
        <xdr:cNvPr id="35" name="図 4"/>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956462" y="12026557"/>
          <a:ext cx="1097547" cy="1070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881063</xdr:colOff>
      <xdr:row>68</xdr:row>
      <xdr:rowOff>132416</xdr:rowOff>
    </xdr:from>
    <xdr:to>
      <xdr:col>6</xdr:col>
      <xdr:colOff>1084</xdr:colOff>
      <xdr:row>78</xdr:row>
      <xdr:rowOff>161326</xdr:rowOff>
    </xdr:to>
    <xdr:pic>
      <xdr:nvPicPr>
        <xdr:cNvPr id="36" name="図 37"/>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4700588" y="11724341"/>
          <a:ext cx="1596521" cy="164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67</xdr:row>
      <xdr:rowOff>110429</xdr:rowOff>
    </xdr:from>
    <xdr:to>
      <xdr:col>2</xdr:col>
      <xdr:colOff>743259</xdr:colOff>
      <xdr:row>77</xdr:row>
      <xdr:rowOff>15638</xdr:rowOff>
    </xdr:to>
    <xdr:pic>
      <xdr:nvPicPr>
        <xdr:cNvPr id="37" name="図 1"/>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0" y="11540429"/>
          <a:ext cx="1343334" cy="1524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381001</xdr:colOff>
      <xdr:row>69</xdr:row>
      <xdr:rowOff>122514</xdr:rowOff>
    </xdr:from>
    <xdr:to>
      <xdr:col>4</xdr:col>
      <xdr:colOff>757404</xdr:colOff>
      <xdr:row>79</xdr:row>
      <xdr:rowOff>136214</xdr:rowOff>
    </xdr:to>
    <xdr:pic>
      <xdr:nvPicPr>
        <xdr:cNvPr id="38" name="図 1"/>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3009901" y="11876364"/>
          <a:ext cx="1567028" cy="163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228600</xdr:colOff>
      <xdr:row>26</xdr:row>
      <xdr:rowOff>0</xdr:rowOff>
    </xdr:from>
    <xdr:to>
      <xdr:col>19</xdr:col>
      <xdr:colOff>334241</xdr:colOff>
      <xdr:row>36</xdr:row>
      <xdr:rowOff>66676</xdr:rowOff>
    </xdr:to>
    <xdr:pic>
      <xdr:nvPicPr>
        <xdr:cNvPr id="513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13887450"/>
          <a:ext cx="325755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114300</xdr:colOff>
      <xdr:row>31</xdr:row>
      <xdr:rowOff>0</xdr:rowOff>
    </xdr:from>
    <xdr:to>
      <xdr:col>19</xdr:col>
      <xdr:colOff>208492</xdr:colOff>
      <xdr:row>41</xdr:row>
      <xdr:rowOff>47625</xdr:rowOff>
    </xdr:to>
    <xdr:pic>
      <xdr:nvPicPr>
        <xdr:cNvPr id="615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54825" y="15116175"/>
          <a:ext cx="3248025"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676275</xdr:colOff>
      <xdr:row>22</xdr:row>
      <xdr:rowOff>0</xdr:rowOff>
    </xdr:from>
    <xdr:to>
      <xdr:col>17</xdr:col>
      <xdr:colOff>755650</xdr:colOff>
      <xdr:row>31</xdr:row>
      <xdr:rowOff>76200</xdr:rowOff>
    </xdr:to>
    <xdr:pic>
      <xdr:nvPicPr>
        <xdr:cNvPr id="410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08650" y="7461250"/>
          <a:ext cx="315912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zoomScale="60" zoomScaleNormal="60" zoomScaleSheetLayoutView="85" workbookViewId="0"/>
  </sheetViews>
  <sheetFormatPr defaultRowHeight="13.5" x14ac:dyDescent="0.15"/>
  <cols>
    <col min="1" max="1" width="4.5" style="87" bestFit="1" customWidth="1"/>
    <col min="2" max="2" width="3.375" style="88" bestFit="1" customWidth="1"/>
    <col min="3" max="3" width="26.625" style="88" customWidth="1"/>
    <col min="4" max="5" width="15.625" style="88" customWidth="1"/>
    <col min="6" max="6" width="16.875" style="88" customWidth="1"/>
    <col min="7" max="7" width="5.75" style="89" customWidth="1"/>
    <col min="8" max="8" width="4" style="88" customWidth="1"/>
    <col min="9" max="9" width="10.625" style="88" customWidth="1"/>
    <col min="10" max="10" width="15.625" style="88" customWidth="1"/>
    <col min="11" max="11" width="2.25" style="88" customWidth="1"/>
    <col min="12" max="12" width="4.5" style="150" bestFit="1" customWidth="1"/>
    <col min="13" max="13" width="3.375" style="88" bestFit="1" customWidth="1"/>
    <col min="14" max="14" width="26.625" style="88" customWidth="1"/>
    <col min="15" max="16" width="15.625" style="88" customWidth="1"/>
    <col min="17" max="17" width="16.875" style="88" customWidth="1"/>
    <col min="18" max="18" width="5.875" style="89" customWidth="1"/>
    <col min="19" max="19" width="4.125" style="88" bestFit="1" customWidth="1"/>
    <col min="20" max="20" width="10.625" style="88" customWidth="1"/>
    <col min="21" max="21" width="15.625" style="88" customWidth="1"/>
    <col min="22" max="16384" width="9" style="88"/>
  </cols>
  <sheetData>
    <row r="1" spans="1:21" ht="58.5" customHeight="1" x14ac:dyDescent="0.15">
      <c r="L1" s="87"/>
    </row>
    <row r="2" spans="1:21" s="87" customFormat="1" ht="12.75" customHeight="1" x14ac:dyDescent="0.15">
      <c r="A2" s="214" t="s">
        <v>316</v>
      </c>
      <c r="B2" s="199" t="s">
        <v>317</v>
      </c>
      <c r="C2" s="200"/>
      <c r="D2" s="215" t="s">
        <v>318</v>
      </c>
      <c r="E2" s="216"/>
      <c r="F2" s="217"/>
      <c r="G2" s="202" t="s">
        <v>319</v>
      </c>
      <c r="H2" s="203"/>
      <c r="I2" s="204"/>
      <c r="J2" s="90"/>
      <c r="K2" s="91"/>
      <c r="L2" s="214" t="s">
        <v>316</v>
      </c>
      <c r="M2" s="199" t="s">
        <v>317</v>
      </c>
      <c r="N2" s="200"/>
      <c r="O2" s="201" t="s">
        <v>318</v>
      </c>
      <c r="P2" s="201"/>
      <c r="Q2" s="201"/>
      <c r="R2" s="202" t="s">
        <v>319</v>
      </c>
      <c r="S2" s="203"/>
      <c r="T2" s="204"/>
      <c r="U2" s="90"/>
    </row>
    <row r="3" spans="1:21" s="87" customFormat="1" ht="12.75" customHeight="1" x14ac:dyDescent="0.15">
      <c r="A3" s="214"/>
      <c r="B3" s="199"/>
      <c r="C3" s="200"/>
      <c r="D3" s="205" t="s">
        <v>320</v>
      </c>
      <c r="E3" s="208" t="s">
        <v>321</v>
      </c>
      <c r="F3" s="211" t="s">
        <v>322</v>
      </c>
      <c r="G3" s="190" t="s">
        <v>323</v>
      </c>
      <c r="H3" s="191"/>
      <c r="I3" s="194" t="s">
        <v>324</v>
      </c>
      <c r="J3" s="196" t="s">
        <v>325</v>
      </c>
      <c r="K3" s="91"/>
      <c r="L3" s="214"/>
      <c r="M3" s="199"/>
      <c r="N3" s="200"/>
      <c r="O3" s="187" t="s">
        <v>320</v>
      </c>
      <c r="P3" s="188" t="s">
        <v>321</v>
      </c>
      <c r="Q3" s="189" t="s">
        <v>322</v>
      </c>
      <c r="R3" s="190" t="s">
        <v>323</v>
      </c>
      <c r="S3" s="191"/>
      <c r="T3" s="194" t="s">
        <v>324</v>
      </c>
      <c r="U3" s="196" t="s">
        <v>325</v>
      </c>
    </row>
    <row r="4" spans="1:21" s="87" customFormat="1" ht="12.75" customHeight="1" x14ac:dyDescent="0.15">
      <c r="A4" s="214"/>
      <c r="B4" s="199"/>
      <c r="C4" s="200"/>
      <c r="D4" s="206"/>
      <c r="E4" s="209"/>
      <c r="F4" s="212"/>
      <c r="G4" s="190"/>
      <c r="H4" s="191"/>
      <c r="I4" s="194"/>
      <c r="J4" s="197"/>
      <c r="K4" s="91"/>
      <c r="L4" s="214"/>
      <c r="M4" s="199"/>
      <c r="N4" s="200"/>
      <c r="O4" s="187"/>
      <c r="P4" s="188"/>
      <c r="Q4" s="189"/>
      <c r="R4" s="190"/>
      <c r="S4" s="191"/>
      <c r="T4" s="194"/>
      <c r="U4" s="197"/>
    </row>
    <row r="5" spans="1:21" s="87" customFormat="1" ht="12.75" customHeight="1" x14ac:dyDescent="0.15">
      <c r="A5" s="214"/>
      <c r="B5" s="199"/>
      <c r="C5" s="200"/>
      <c r="D5" s="206"/>
      <c r="E5" s="209"/>
      <c r="F5" s="212"/>
      <c r="G5" s="190"/>
      <c r="H5" s="191"/>
      <c r="I5" s="194"/>
      <c r="J5" s="197"/>
      <c r="K5" s="91"/>
      <c r="L5" s="214"/>
      <c r="M5" s="199"/>
      <c r="N5" s="200"/>
      <c r="O5" s="187"/>
      <c r="P5" s="188"/>
      <c r="Q5" s="189"/>
      <c r="R5" s="190"/>
      <c r="S5" s="191"/>
      <c r="T5" s="194"/>
      <c r="U5" s="197"/>
    </row>
    <row r="6" spans="1:21" s="87" customFormat="1" ht="12.75" customHeight="1" x14ac:dyDescent="0.15">
      <c r="A6" s="214"/>
      <c r="B6" s="199"/>
      <c r="C6" s="200"/>
      <c r="D6" s="207"/>
      <c r="E6" s="210"/>
      <c r="F6" s="213"/>
      <c r="G6" s="192"/>
      <c r="H6" s="193"/>
      <c r="I6" s="195"/>
      <c r="J6" s="198"/>
      <c r="K6" s="91"/>
      <c r="L6" s="214"/>
      <c r="M6" s="199"/>
      <c r="N6" s="200"/>
      <c r="O6" s="187"/>
      <c r="P6" s="188"/>
      <c r="Q6" s="189"/>
      <c r="R6" s="192"/>
      <c r="S6" s="193"/>
      <c r="T6" s="195"/>
      <c r="U6" s="198"/>
    </row>
    <row r="7" spans="1:21" ht="12.75" customHeight="1" x14ac:dyDescent="0.15">
      <c r="A7" s="171">
        <v>1</v>
      </c>
      <c r="B7" s="184" t="s">
        <v>326</v>
      </c>
      <c r="C7" s="92" t="s">
        <v>15</v>
      </c>
      <c r="D7" s="173" t="s">
        <v>327</v>
      </c>
      <c r="E7" s="173" t="s">
        <v>328</v>
      </c>
      <c r="F7" s="173" t="s">
        <v>329</v>
      </c>
      <c r="G7" s="93">
        <f>(613*0.75)</f>
        <v>459.75</v>
      </c>
      <c r="H7" s="94" t="s">
        <v>330</v>
      </c>
      <c r="I7" s="165" t="s">
        <v>246</v>
      </c>
      <c r="J7" s="95" t="s">
        <v>59</v>
      </c>
      <c r="K7" s="96"/>
      <c r="L7" s="158">
        <v>17</v>
      </c>
      <c r="M7" s="158" t="s">
        <v>331</v>
      </c>
      <c r="N7" s="97" t="s">
        <v>127</v>
      </c>
      <c r="O7" s="164" t="s">
        <v>332</v>
      </c>
      <c r="P7" s="164" t="s">
        <v>333</v>
      </c>
      <c r="Q7" s="164" t="s">
        <v>334</v>
      </c>
      <c r="R7" s="98">
        <f>(684*0.75)</f>
        <v>513</v>
      </c>
      <c r="S7" s="92" t="s">
        <v>335</v>
      </c>
      <c r="T7" s="165" t="s">
        <v>336</v>
      </c>
      <c r="U7" s="95" t="s">
        <v>59</v>
      </c>
    </row>
    <row r="8" spans="1:21" ht="12.75" customHeight="1" x14ac:dyDescent="0.15">
      <c r="A8" s="158"/>
      <c r="B8" s="185"/>
      <c r="C8" s="99" t="s">
        <v>16</v>
      </c>
      <c r="D8" s="174"/>
      <c r="E8" s="174"/>
      <c r="F8" s="174"/>
      <c r="G8" s="100">
        <f>(17.2*0.75)</f>
        <v>12.899999999999999</v>
      </c>
      <c r="H8" s="101" t="s">
        <v>337</v>
      </c>
      <c r="I8" s="166"/>
      <c r="J8" s="102" t="s">
        <v>338</v>
      </c>
      <c r="K8" s="103"/>
      <c r="L8" s="158"/>
      <c r="M8" s="158"/>
      <c r="N8" s="104" t="s">
        <v>136</v>
      </c>
      <c r="O8" s="177"/>
      <c r="P8" s="177"/>
      <c r="Q8" s="164"/>
      <c r="R8" s="100">
        <f>(22.1*0.75)</f>
        <v>16.575000000000003</v>
      </c>
      <c r="S8" s="104" t="s">
        <v>337</v>
      </c>
      <c r="T8" s="166"/>
      <c r="U8" s="102" t="s">
        <v>339</v>
      </c>
    </row>
    <row r="9" spans="1:21" ht="12.75" customHeight="1" x14ac:dyDescent="0.15">
      <c r="A9" s="158"/>
      <c r="B9" s="185"/>
      <c r="C9" s="104" t="s">
        <v>36</v>
      </c>
      <c r="D9" s="174"/>
      <c r="E9" s="174"/>
      <c r="F9" s="174"/>
      <c r="G9" s="100">
        <f>(20.3*0.75)</f>
        <v>15.225000000000001</v>
      </c>
      <c r="H9" s="101" t="s">
        <v>337</v>
      </c>
      <c r="I9" s="166"/>
      <c r="J9" s="102"/>
      <c r="K9" s="103"/>
      <c r="L9" s="158"/>
      <c r="M9" s="158"/>
      <c r="N9" s="104" t="s">
        <v>110</v>
      </c>
      <c r="O9" s="177"/>
      <c r="P9" s="177"/>
      <c r="Q9" s="164"/>
      <c r="R9" s="100">
        <f>(20.9*0.75)</f>
        <v>15.674999999999999</v>
      </c>
      <c r="S9" s="104" t="s">
        <v>337</v>
      </c>
      <c r="T9" s="166"/>
      <c r="U9" s="102"/>
    </row>
    <row r="10" spans="1:21" ht="12.75" customHeight="1" x14ac:dyDescent="0.15">
      <c r="A10" s="158"/>
      <c r="B10" s="185"/>
      <c r="C10" s="104" t="s">
        <v>49</v>
      </c>
      <c r="D10" s="174"/>
      <c r="E10" s="174"/>
      <c r="F10" s="174"/>
      <c r="G10" s="100">
        <f>(90.4*0.75)</f>
        <v>67.800000000000011</v>
      </c>
      <c r="H10" s="101" t="s">
        <v>337</v>
      </c>
      <c r="I10" s="166"/>
      <c r="J10" s="102"/>
      <c r="K10" s="103"/>
      <c r="L10" s="158"/>
      <c r="M10" s="158"/>
      <c r="N10" s="104"/>
      <c r="O10" s="177"/>
      <c r="P10" s="177"/>
      <c r="Q10" s="164"/>
      <c r="R10" s="100">
        <f>(98.7*0.75)</f>
        <v>74.025000000000006</v>
      </c>
      <c r="S10" s="104" t="s">
        <v>337</v>
      </c>
      <c r="T10" s="166"/>
      <c r="U10" s="102"/>
    </row>
    <row r="11" spans="1:21" ht="12.75" customHeight="1" x14ac:dyDescent="0.15">
      <c r="A11" s="158"/>
      <c r="B11" s="186"/>
      <c r="C11" s="105" t="s">
        <v>54</v>
      </c>
      <c r="D11" s="175"/>
      <c r="E11" s="175"/>
      <c r="F11" s="175"/>
      <c r="G11" s="106">
        <f>(1.3*0.75)</f>
        <v>0.97500000000000009</v>
      </c>
      <c r="H11" s="107" t="s">
        <v>337</v>
      </c>
      <c r="I11" s="167"/>
      <c r="J11" s="108"/>
      <c r="K11" s="103"/>
      <c r="L11" s="158"/>
      <c r="M11" s="158"/>
      <c r="N11" s="105"/>
      <c r="O11" s="177"/>
      <c r="P11" s="177"/>
      <c r="Q11" s="164"/>
      <c r="R11" s="106">
        <f>(1.8*0.75)</f>
        <v>1.35</v>
      </c>
      <c r="S11" s="105" t="s">
        <v>340</v>
      </c>
      <c r="T11" s="167"/>
      <c r="U11" s="108"/>
    </row>
    <row r="12" spans="1:21" ht="12.75" customHeight="1" x14ac:dyDescent="0.15">
      <c r="A12" s="171">
        <v>2</v>
      </c>
      <c r="B12" s="176" t="s">
        <v>82</v>
      </c>
      <c r="C12" s="109" t="s">
        <v>87</v>
      </c>
      <c r="D12" s="173" t="s">
        <v>341</v>
      </c>
      <c r="E12" s="173" t="s">
        <v>342</v>
      </c>
      <c r="F12" s="173" t="s">
        <v>343</v>
      </c>
      <c r="G12" s="98">
        <f>(590*0.75)</f>
        <v>442.5</v>
      </c>
      <c r="H12" s="92" t="s">
        <v>335</v>
      </c>
      <c r="I12" s="165" t="s">
        <v>344</v>
      </c>
      <c r="J12" s="95" t="s">
        <v>59</v>
      </c>
      <c r="K12" s="110"/>
      <c r="L12" s="168" t="s">
        <v>345</v>
      </c>
      <c r="M12" s="170" t="s">
        <v>346</v>
      </c>
      <c r="N12" s="92" t="s">
        <v>347</v>
      </c>
      <c r="O12" s="164" t="s">
        <v>348</v>
      </c>
      <c r="P12" s="164" t="s">
        <v>349</v>
      </c>
      <c r="Q12" s="164" t="s">
        <v>350</v>
      </c>
      <c r="R12" s="98">
        <f>(708*0.75)</f>
        <v>531</v>
      </c>
      <c r="S12" s="94" t="s">
        <v>351</v>
      </c>
      <c r="T12" s="165" t="s">
        <v>352</v>
      </c>
      <c r="U12" s="95" t="s">
        <v>59</v>
      </c>
    </row>
    <row r="13" spans="1:21" ht="12.75" customHeight="1" x14ac:dyDescent="0.15">
      <c r="A13" s="171"/>
      <c r="B13" s="176"/>
      <c r="C13" s="104" t="s">
        <v>100</v>
      </c>
      <c r="D13" s="174"/>
      <c r="E13" s="174"/>
      <c r="F13" s="174"/>
      <c r="G13" s="100">
        <f>(23.5*0.75)</f>
        <v>17.625</v>
      </c>
      <c r="H13" s="104" t="s">
        <v>353</v>
      </c>
      <c r="I13" s="166"/>
      <c r="J13" s="102" t="s">
        <v>354</v>
      </c>
      <c r="K13" s="110"/>
      <c r="L13" s="169"/>
      <c r="M13" s="170"/>
      <c r="N13" s="111" t="s">
        <v>152</v>
      </c>
      <c r="O13" s="164"/>
      <c r="P13" s="164"/>
      <c r="Q13" s="164"/>
      <c r="R13" s="100">
        <f>(22.7*0.75)</f>
        <v>17.024999999999999</v>
      </c>
      <c r="S13" s="104" t="s">
        <v>353</v>
      </c>
      <c r="T13" s="166"/>
      <c r="U13" s="112" t="s">
        <v>355</v>
      </c>
    </row>
    <row r="14" spans="1:21" ht="12.75" customHeight="1" x14ac:dyDescent="0.15">
      <c r="A14" s="171"/>
      <c r="B14" s="176"/>
      <c r="C14" s="104" t="s">
        <v>110</v>
      </c>
      <c r="D14" s="174"/>
      <c r="E14" s="174"/>
      <c r="F14" s="174"/>
      <c r="G14" s="100">
        <f>(17.9*0.75)</f>
        <v>13.424999999999999</v>
      </c>
      <c r="H14" s="104" t="s">
        <v>353</v>
      </c>
      <c r="I14" s="166"/>
      <c r="J14" s="102"/>
      <c r="K14" s="110"/>
      <c r="L14" s="169"/>
      <c r="M14" s="170"/>
      <c r="N14" s="104" t="s">
        <v>161</v>
      </c>
      <c r="O14" s="164"/>
      <c r="P14" s="164"/>
      <c r="Q14" s="164"/>
      <c r="R14" s="100">
        <f>(25.9*0.75)</f>
        <v>19.424999999999997</v>
      </c>
      <c r="S14" s="104" t="s">
        <v>353</v>
      </c>
      <c r="T14" s="166"/>
      <c r="U14" s="102" t="s">
        <v>356</v>
      </c>
    </row>
    <row r="15" spans="1:21" ht="12.75" customHeight="1" x14ac:dyDescent="0.15">
      <c r="A15" s="171"/>
      <c r="B15" s="176"/>
      <c r="C15" s="104"/>
      <c r="D15" s="174"/>
      <c r="E15" s="174"/>
      <c r="F15" s="174"/>
      <c r="G15" s="100">
        <f>(82*0.75)</f>
        <v>61.5</v>
      </c>
      <c r="H15" s="104" t="s">
        <v>353</v>
      </c>
      <c r="I15" s="166"/>
      <c r="J15" s="102"/>
      <c r="K15" s="110"/>
      <c r="L15" s="169"/>
      <c r="M15" s="170"/>
      <c r="N15" s="104" t="s">
        <v>124</v>
      </c>
      <c r="O15" s="164"/>
      <c r="P15" s="164"/>
      <c r="Q15" s="164"/>
      <c r="R15" s="100">
        <f>(93.1*0.75)</f>
        <v>69.824999999999989</v>
      </c>
      <c r="S15" s="104" t="s">
        <v>353</v>
      </c>
      <c r="T15" s="166"/>
      <c r="U15" s="102"/>
    </row>
    <row r="16" spans="1:21" ht="12.75" customHeight="1" x14ac:dyDescent="0.15">
      <c r="A16" s="171"/>
      <c r="B16" s="176"/>
      <c r="C16" s="105"/>
      <c r="D16" s="175"/>
      <c r="E16" s="175"/>
      <c r="F16" s="175"/>
      <c r="G16" s="106">
        <f>(3.6*0.75)</f>
        <v>2.7</v>
      </c>
      <c r="H16" s="105" t="s">
        <v>357</v>
      </c>
      <c r="I16" s="167"/>
      <c r="J16" s="108"/>
      <c r="K16" s="110"/>
      <c r="L16" s="169"/>
      <c r="M16" s="170"/>
      <c r="N16" s="105"/>
      <c r="O16" s="164"/>
      <c r="P16" s="164"/>
      <c r="Q16" s="164"/>
      <c r="R16" s="106">
        <f>(2*0.75)</f>
        <v>1.5</v>
      </c>
      <c r="S16" s="105" t="s">
        <v>353</v>
      </c>
      <c r="T16" s="167"/>
      <c r="U16" s="108"/>
    </row>
    <row r="17" spans="1:21" ht="12.75" customHeight="1" x14ac:dyDescent="0.15">
      <c r="A17" s="171">
        <v>3</v>
      </c>
      <c r="B17" s="176" t="s">
        <v>331</v>
      </c>
      <c r="C17" s="97" t="s">
        <v>127</v>
      </c>
      <c r="D17" s="173" t="s">
        <v>358</v>
      </c>
      <c r="E17" s="173" t="s">
        <v>359</v>
      </c>
      <c r="F17" s="173" t="s">
        <v>360</v>
      </c>
      <c r="G17" s="98">
        <f>(683*0.75)</f>
        <v>512.25</v>
      </c>
      <c r="H17" s="94" t="s">
        <v>351</v>
      </c>
      <c r="I17" s="165" t="s">
        <v>361</v>
      </c>
      <c r="J17" s="95" t="s">
        <v>59</v>
      </c>
      <c r="K17" s="96"/>
      <c r="L17" s="113"/>
      <c r="M17" s="114"/>
      <c r="N17" s="115"/>
      <c r="O17" s="116"/>
      <c r="P17" s="116"/>
      <c r="Q17" s="116"/>
      <c r="R17" s="117"/>
      <c r="S17" s="115"/>
      <c r="T17" s="118"/>
      <c r="U17" s="119"/>
    </row>
    <row r="18" spans="1:21" ht="12.75" customHeight="1" x14ac:dyDescent="0.15">
      <c r="A18" s="183"/>
      <c r="B18" s="176"/>
      <c r="C18" s="104" t="s">
        <v>136</v>
      </c>
      <c r="D18" s="174"/>
      <c r="E18" s="174"/>
      <c r="F18" s="174"/>
      <c r="G18" s="100">
        <f>(21.9*0.75)</f>
        <v>16.424999999999997</v>
      </c>
      <c r="H18" s="104" t="s">
        <v>337</v>
      </c>
      <c r="I18" s="166"/>
      <c r="J18" s="102" t="s">
        <v>339</v>
      </c>
      <c r="K18" s="110"/>
      <c r="L18" s="120"/>
      <c r="M18" s="121"/>
      <c r="N18" s="122"/>
      <c r="O18" s="123"/>
      <c r="P18" s="123"/>
      <c r="Q18" s="123"/>
      <c r="R18" s="124"/>
      <c r="S18" s="122"/>
      <c r="T18" s="125"/>
      <c r="U18" s="126"/>
    </row>
    <row r="19" spans="1:21" ht="12.75" customHeight="1" x14ac:dyDescent="0.15">
      <c r="A19" s="183"/>
      <c r="B19" s="176"/>
      <c r="C19" s="104" t="s">
        <v>54</v>
      </c>
      <c r="D19" s="174"/>
      <c r="E19" s="174"/>
      <c r="F19" s="174"/>
      <c r="G19" s="100">
        <f>(21*0.75)</f>
        <v>15.75</v>
      </c>
      <c r="H19" s="104" t="s">
        <v>337</v>
      </c>
      <c r="I19" s="166"/>
      <c r="J19" s="102"/>
      <c r="K19" s="110"/>
      <c r="L19" s="158">
        <v>21</v>
      </c>
      <c r="M19" s="158" t="s">
        <v>362</v>
      </c>
      <c r="N19" s="92" t="s">
        <v>185</v>
      </c>
      <c r="O19" s="164" t="s">
        <v>363</v>
      </c>
      <c r="P19" s="164" t="s">
        <v>364</v>
      </c>
      <c r="Q19" s="164" t="s">
        <v>365</v>
      </c>
      <c r="R19" s="98">
        <f>(636*0.75)</f>
        <v>477</v>
      </c>
      <c r="S19" s="94" t="s">
        <v>330</v>
      </c>
      <c r="T19" s="165" t="s">
        <v>366</v>
      </c>
      <c r="U19" s="95" t="s">
        <v>59</v>
      </c>
    </row>
    <row r="20" spans="1:21" ht="12.75" customHeight="1" x14ac:dyDescent="0.15">
      <c r="A20" s="183"/>
      <c r="B20" s="176"/>
      <c r="C20" s="104"/>
      <c r="D20" s="174"/>
      <c r="E20" s="174"/>
      <c r="F20" s="174"/>
      <c r="G20" s="100">
        <f>(98.3*0.75)</f>
        <v>73.724999999999994</v>
      </c>
      <c r="H20" s="104" t="s">
        <v>337</v>
      </c>
      <c r="I20" s="166"/>
      <c r="J20" s="102"/>
      <c r="K20" s="110"/>
      <c r="L20" s="158"/>
      <c r="M20" s="158"/>
      <c r="N20" s="99" t="s">
        <v>188</v>
      </c>
      <c r="O20" s="164"/>
      <c r="P20" s="164"/>
      <c r="Q20" s="164"/>
      <c r="R20" s="100">
        <f>(22.2*0.75)</f>
        <v>16.649999999999999</v>
      </c>
      <c r="S20" s="104" t="s">
        <v>337</v>
      </c>
      <c r="T20" s="166"/>
      <c r="U20" s="102" t="s">
        <v>367</v>
      </c>
    </row>
    <row r="21" spans="1:21" ht="12.75" customHeight="1" x14ac:dyDescent="0.15">
      <c r="A21" s="183"/>
      <c r="B21" s="176"/>
      <c r="C21" s="105"/>
      <c r="D21" s="175"/>
      <c r="E21" s="175"/>
      <c r="F21" s="175"/>
      <c r="G21" s="106">
        <f>(1.8*0.75)</f>
        <v>1.35</v>
      </c>
      <c r="H21" s="105" t="s">
        <v>337</v>
      </c>
      <c r="I21" s="167"/>
      <c r="J21" s="108"/>
      <c r="K21" s="110"/>
      <c r="L21" s="158"/>
      <c r="M21" s="158"/>
      <c r="N21" s="104" t="s">
        <v>192</v>
      </c>
      <c r="O21" s="164"/>
      <c r="P21" s="164"/>
      <c r="Q21" s="164"/>
      <c r="R21" s="100">
        <f>(15.6*0.75)</f>
        <v>11.7</v>
      </c>
      <c r="S21" s="104" t="s">
        <v>337</v>
      </c>
      <c r="T21" s="166"/>
      <c r="U21" s="102" t="s">
        <v>368</v>
      </c>
    </row>
    <row r="22" spans="1:21" ht="12.75" customHeight="1" x14ac:dyDescent="0.15">
      <c r="A22" s="168" t="s">
        <v>369</v>
      </c>
      <c r="B22" s="170" t="s">
        <v>346</v>
      </c>
      <c r="C22" s="92" t="s">
        <v>370</v>
      </c>
      <c r="D22" s="173" t="s">
        <v>371</v>
      </c>
      <c r="E22" s="173" t="s">
        <v>372</v>
      </c>
      <c r="F22" s="173" t="s">
        <v>373</v>
      </c>
      <c r="G22" s="98">
        <f>(683*0.75)</f>
        <v>512.25</v>
      </c>
      <c r="H22" s="94" t="s">
        <v>330</v>
      </c>
      <c r="I22" s="165" t="s">
        <v>374</v>
      </c>
      <c r="J22" s="95" t="s">
        <v>59</v>
      </c>
      <c r="K22" s="96"/>
      <c r="L22" s="158"/>
      <c r="M22" s="158"/>
      <c r="N22" s="104" t="s">
        <v>147</v>
      </c>
      <c r="O22" s="164"/>
      <c r="P22" s="164"/>
      <c r="Q22" s="164"/>
      <c r="R22" s="100">
        <f>(98.7*0.75)</f>
        <v>74.025000000000006</v>
      </c>
      <c r="S22" s="104" t="s">
        <v>337</v>
      </c>
      <c r="T22" s="166"/>
      <c r="U22" s="102"/>
    </row>
    <row r="23" spans="1:21" ht="12.75" customHeight="1" x14ac:dyDescent="0.15">
      <c r="A23" s="169"/>
      <c r="B23" s="170"/>
      <c r="C23" s="111" t="s">
        <v>152</v>
      </c>
      <c r="D23" s="174"/>
      <c r="E23" s="174"/>
      <c r="F23" s="174"/>
      <c r="G23" s="100">
        <f>(20*0.75)</f>
        <v>15</v>
      </c>
      <c r="H23" s="104" t="s">
        <v>337</v>
      </c>
      <c r="I23" s="166"/>
      <c r="J23" s="102" t="s">
        <v>375</v>
      </c>
      <c r="K23" s="110"/>
      <c r="L23" s="158"/>
      <c r="M23" s="158"/>
      <c r="N23" s="105" t="s">
        <v>124</v>
      </c>
      <c r="O23" s="164"/>
      <c r="P23" s="164"/>
      <c r="Q23" s="164"/>
      <c r="R23" s="106">
        <f>(1.1*0.75)</f>
        <v>0.82500000000000007</v>
      </c>
      <c r="S23" s="105" t="s">
        <v>337</v>
      </c>
      <c r="T23" s="167"/>
      <c r="U23" s="108"/>
    </row>
    <row r="24" spans="1:21" ht="12.75" customHeight="1" x14ac:dyDescent="0.15">
      <c r="A24" s="169"/>
      <c r="B24" s="170"/>
      <c r="C24" s="104" t="s">
        <v>161</v>
      </c>
      <c r="D24" s="174"/>
      <c r="E24" s="174"/>
      <c r="F24" s="174"/>
      <c r="G24" s="100">
        <f>(23.9*0.75)</f>
        <v>17.924999999999997</v>
      </c>
      <c r="H24" s="104" t="s">
        <v>337</v>
      </c>
      <c r="I24" s="166"/>
      <c r="J24" s="102" t="s">
        <v>376</v>
      </c>
      <c r="K24" s="110"/>
      <c r="L24" s="113"/>
      <c r="M24" s="114"/>
      <c r="N24" s="115"/>
      <c r="O24" s="116"/>
      <c r="P24" s="116"/>
      <c r="Q24" s="116"/>
      <c r="R24" s="117"/>
      <c r="S24" s="115"/>
      <c r="T24" s="118"/>
      <c r="U24" s="119"/>
    </row>
    <row r="25" spans="1:21" ht="12.75" customHeight="1" x14ac:dyDescent="0.15">
      <c r="A25" s="169"/>
      <c r="B25" s="170"/>
      <c r="C25" s="104" t="s">
        <v>124</v>
      </c>
      <c r="D25" s="174"/>
      <c r="E25" s="174"/>
      <c r="F25" s="174"/>
      <c r="G25" s="100">
        <f>(94.2*0.75)</f>
        <v>70.650000000000006</v>
      </c>
      <c r="H25" s="104" t="s">
        <v>337</v>
      </c>
      <c r="I25" s="166"/>
      <c r="J25" s="102"/>
      <c r="K25" s="110"/>
      <c r="L25" s="120"/>
      <c r="M25" s="121"/>
      <c r="N25" s="122"/>
      <c r="O25" s="123"/>
      <c r="P25" s="123"/>
      <c r="Q25" s="123"/>
      <c r="R25" s="124"/>
      <c r="S25" s="122"/>
      <c r="T25" s="125"/>
      <c r="U25" s="126"/>
    </row>
    <row r="26" spans="1:21" ht="12.75" customHeight="1" x14ac:dyDescent="0.15">
      <c r="A26" s="181"/>
      <c r="B26" s="182"/>
      <c r="C26" s="104"/>
      <c r="D26" s="174"/>
      <c r="E26" s="174"/>
      <c r="F26" s="174"/>
      <c r="G26" s="100">
        <f>(1*0.75)</f>
        <v>0.75</v>
      </c>
      <c r="H26" s="104" t="s">
        <v>337</v>
      </c>
      <c r="I26" s="166"/>
      <c r="J26" s="102"/>
      <c r="K26" s="110"/>
      <c r="L26" s="158">
        <v>23</v>
      </c>
      <c r="M26" s="158" t="s">
        <v>82</v>
      </c>
      <c r="N26" s="127" t="s">
        <v>210</v>
      </c>
      <c r="O26" s="164" t="s">
        <v>377</v>
      </c>
      <c r="P26" s="164" t="s">
        <v>378</v>
      </c>
      <c r="Q26" s="164" t="s">
        <v>379</v>
      </c>
      <c r="R26" s="98">
        <f>(574*0.75)</f>
        <v>430.5</v>
      </c>
      <c r="S26" s="94" t="s">
        <v>330</v>
      </c>
      <c r="T26" s="165" t="s">
        <v>380</v>
      </c>
      <c r="U26" s="95" t="s">
        <v>59</v>
      </c>
    </row>
    <row r="27" spans="1:21" ht="12.75" customHeight="1" x14ac:dyDescent="0.15">
      <c r="A27" s="113"/>
      <c r="B27" s="114"/>
      <c r="C27" s="115"/>
      <c r="D27" s="116"/>
      <c r="E27" s="116"/>
      <c r="F27" s="116"/>
      <c r="G27" s="117"/>
      <c r="H27" s="115"/>
      <c r="I27" s="118"/>
      <c r="J27" s="119"/>
      <c r="K27" s="96"/>
      <c r="L27" s="158"/>
      <c r="M27" s="158"/>
      <c r="N27" s="104" t="s">
        <v>270</v>
      </c>
      <c r="O27" s="164"/>
      <c r="P27" s="164"/>
      <c r="Q27" s="164"/>
      <c r="R27" s="100">
        <f>(18.9*0.75)</f>
        <v>14.174999999999999</v>
      </c>
      <c r="S27" s="104" t="s">
        <v>337</v>
      </c>
      <c r="T27" s="166"/>
      <c r="U27" s="102" t="s">
        <v>381</v>
      </c>
    </row>
    <row r="28" spans="1:21" ht="12.75" customHeight="1" x14ac:dyDescent="0.15">
      <c r="A28" s="120"/>
      <c r="B28" s="121"/>
      <c r="C28" s="122"/>
      <c r="D28" s="123"/>
      <c r="E28" s="123"/>
      <c r="F28" s="123"/>
      <c r="G28" s="124"/>
      <c r="H28" s="122"/>
      <c r="I28" s="125"/>
      <c r="J28" s="126"/>
      <c r="K28" s="110"/>
      <c r="L28" s="158"/>
      <c r="M28" s="158"/>
      <c r="N28" s="104" t="s">
        <v>217</v>
      </c>
      <c r="O28" s="164"/>
      <c r="P28" s="164"/>
      <c r="Q28" s="164"/>
      <c r="R28" s="100">
        <f>(20.2*0.75)</f>
        <v>15.149999999999999</v>
      </c>
      <c r="S28" s="104" t="s">
        <v>337</v>
      </c>
      <c r="T28" s="166"/>
      <c r="U28" s="102"/>
    </row>
    <row r="29" spans="1:21" ht="12.75" customHeight="1" x14ac:dyDescent="0.15">
      <c r="A29" s="179">
        <v>7</v>
      </c>
      <c r="B29" s="180" t="s">
        <v>362</v>
      </c>
      <c r="C29" s="104" t="s">
        <v>185</v>
      </c>
      <c r="D29" s="174" t="s">
        <v>382</v>
      </c>
      <c r="E29" s="174" t="s">
        <v>364</v>
      </c>
      <c r="F29" s="174" t="s">
        <v>383</v>
      </c>
      <c r="G29" s="128">
        <f>(636*0.75)</f>
        <v>477</v>
      </c>
      <c r="H29" s="129" t="s">
        <v>330</v>
      </c>
      <c r="I29" s="166" t="s">
        <v>366</v>
      </c>
      <c r="J29" s="102" t="s">
        <v>59</v>
      </c>
      <c r="K29" s="110"/>
      <c r="L29" s="158"/>
      <c r="M29" s="158"/>
      <c r="N29" s="104"/>
      <c r="O29" s="164"/>
      <c r="P29" s="164"/>
      <c r="Q29" s="164"/>
      <c r="R29" s="100">
        <f>(76.6*0.75)</f>
        <v>57.449999999999996</v>
      </c>
      <c r="S29" s="104" t="s">
        <v>337</v>
      </c>
      <c r="T29" s="166"/>
      <c r="U29" s="102"/>
    </row>
    <row r="30" spans="1:21" ht="12.75" customHeight="1" x14ac:dyDescent="0.15">
      <c r="A30" s="163"/>
      <c r="B30" s="176"/>
      <c r="C30" s="99" t="s">
        <v>188</v>
      </c>
      <c r="D30" s="174"/>
      <c r="E30" s="174"/>
      <c r="F30" s="174"/>
      <c r="G30" s="100">
        <f>(22.2*0.75)</f>
        <v>16.649999999999999</v>
      </c>
      <c r="H30" s="104" t="s">
        <v>337</v>
      </c>
      <c r="I30" s="166"/>
      <c r="J30" s="102" t="s">
        <v>384</v>
      </c>
      <c r="K30" s="110"/>
      <c r="L30" s="158"/>
      <c r="M30" s="158"/>
      <c r="N30" s="105"/>
      <c r="O30" s="164"/>
      <c r="P30" s="164"/>
      <c r="Q30" s="164"/>
      <c r="R30" s="106">
        <f>(1.4*0.75)</f>
        <v>1.0499999999999998</v>
      </c>
      <c r="S30" s="105" t="s">
        <v>337</v>
      </c>
      <c r="T30" s="167"/>
      <c r="U30" s="108"/>
    </row>
    <row r="31" spans="1:21" ht="12.75" customHeight="1" x14ac:dyDescent="0.15">
      <c r="A31" s="163"/>
      <c r="B31" s="176"/>
      <c r="C31" s="104" t="s">
        <v>192</v>
      </c>
      <c r="D31" s="174"/>
      <c r="E31" s="174"/>
      <c r="F31" s="174"/>
      <c r="G31" s="100">
        <f>(15.6*0.75)</f>
        <v>11.7</v>
      </c>
      <c r="H31" s="104" t="s">
        <v>337</v>
      </c>
      <c r="I31" s="166"/>
      <c r="J31" s="102"/>
      <c r="K31" s="110"/>
      <c r="L31" s="158">
        <v>24</v>
      </c>
      <c r="M31" s="158" t="s">
        <v>331</v>
      </c>
      <c r="N31" s="92" t="s">
        <v>15</v>
      </c>
      <c r="O31" s="164" t="s">
        <v>385</v>
      </c>
      <c r="P31" s="164" t="s">
        <v>386</v>
      </c>
      <c r="Q31" s="164" t="s">
        <v>387</v>
      </c>
      <c r="R31" s="98">
        <f>(547*0.75)</f>
        <v>410.25</v>
      </c>
      <c r="S31" s="94" t="s">
        <v>330</v>
      </c>
      <c r="T31" s="165" t="s">
        <v>246</v>
      </c>
      <c r="U31" s="95" t="s">
        <v>59</v>
      </c>
    </row>
    <row r="32" spans="1:21" ht="12.75" customHeight="1" x14ac:dyDescent="0.15">
      <c r="A32" s="163"/>
      <c r="B32" s="176"/>
      <c r="C32" s="104" t="s">
        <v>147</v>
      </c>
      <c r="D32" s="174"/>
      <c r="E32" s="174"/>
      <c r="F32" s="174"/>
      <c r="G32" s="100">
        <f>(98.7*0.75)</f>
        <v>74.025000000000006</v>
      </c>
      <c r="H32" s="104" t="s">
        <v>337</v>
      </c>
      <c r="I32" s="166"/>
      <c r="J32" s="102"/>
      <c r="K32" s="96"/>
      <c r="L32" s="158"/>
      <c r="M32" s="158"/>
      <c r="N32" s="99" t="s">
        <v>220</v>
      </c>
      <c r="O32" s="164"/>
      <c r="P32" s="164"/>
      <c r="Q32" s="164"/>
      <c r="R32" s="100">
        <f>(18.9*0.75)</f>
        <v>14.174999999999999</v>
      </c>
      <c r="S32" s="104" t="s">
        <v>337</v>
      </c>
      <c r="T32" s="166"/>
      <c r="U32" s="102" t="s">
        <v>388</v>
      </c>
    </row>
    <row r="33" spans="1:21" ht="12.75" customHeight="1" x14ac:dyDescent="0.15">
      <c r="A33" s="163"/>
      <c r="B33" s="176"/>
      <c r="C33" s="105" t="s">
        <v>124</v>
      </c>
      <c r="D33" s="175"/>
      <c r="E33" s="175"/>
      <c r="F33" s="175"/>
      <c r="G33" s="106">
        <f>(1.1*0.75)</f>
        <v>0.82500000000000007</v>
      </c>
      <c r="H33" s="105" t="s">
        <v>337</v>
      </c>
      <c r="I33" s="167"/>
      <c r="J33" s="108"/>
      <c r="K33" s="110"/>
      <c r="L33" s="158"/>
      <c r="M33" s="158"/>
      <c r="N33" s="104" t="s">
        <v>225</v>
      </c>
      <c r="O33" s="164"/>
      <c r="P33" s="164"/>
      <c r="Q33" s="164"/>
      <c r="R33" s="100">
        <f>(13.7*0.75)</f>
        <v>10.274999999999999</v>
      </c>
      <c r="S33" s="104" t="s">
        <v>337</v>
      </c>
      <c r="T33" s="166"/>
      <c r="U33" s="102"/>
    </row>
    <row r="34" spans="1:21" ht="12.75" customHeight="1" x14ac:dyDescent="0.15">
      <c r="A34" s="172">
        <v>8</v>
      </c>
      <c r="B34" s="176" t="s">
        <v>326</v>
      </c>
      <c r="C34" s="92" t="s">
        <v>15</v>
      </c>
      <c r="D34" s="173" t="s">
        <v>389</v>
      </c>
      <c r="E34" s="173" t="s">
        <v>390</v>
      </c>
      <c r="F34" s="173" t="s">
        <v>391</v>
      </c>
      <c r="G34" s="98">
        <f>(620*0.75)</f>
        <v>465</v>
      </c>
      <c r="H34" s="94" t="s">
        <v>330</v>
      </c>
      <c r="I34" s="165" t="s">
        <v>392</v>
      </c>
      <c r="J34" s="95" t="s">
        <v>59</v>
      </c>
      <c r="K34" s="110"/>
      <c r="L34" s="158"/>
      <c r="M34" s="158"/>
      <c r="N34" s="104" t="s">
        <v>147</v>
      </c>
      <c r="O34" s="164"/>
      <c r="P34" s="164"/>
      <c r="Q34" s="164"/>
      <c r="R34" s="100">
        <f>(86*0.75)</f>
        <v>64.5</v>
      </c>
      <c r="S34" s="104" t="s">
        <v>337</v>
      </c>
      <c r="T34" s="166"/>
      <c r="U34" s="102"/>
    </row>
    <row r="35" spans="1:21" ht="12.75" customHeight="1" x14ac:dyDescent="0.15">
      <c r="A35" s="178"/>
      <c r="B35" s="176"/>
      <c r="C35" s="130" t="s">
        <v>200</v>
      </c>
      <c r="D35" s="174"/>
      <c r="E35" s="174"/>
      <c r="F35" s="174"/>
      <c r="G35" s="100">
        <f>(23.6*0.75)</f>
        <v>17.700000000000003</v>
      </c>
      <c r="H35" s="104" t="s">
        <v>337</v>
      </c>
      <c r="I35" s="166"/>
      <c r="J35" s="102" t="s">
        <v>393</v>
      </c>
      <c r="K35" s="110"/>
      <c r="L35" s="158"/>
      <c r="M35" s="158"/>
      <c r="N35" s="105" t="s">
        <v>124</v>
      </c>
      <c r="O35" s="164"/>
      <c r="P35" s="164"/>
      <c r="Q35" s="164"/>
      <c r="R35" s="106">
        <f>(1.2*0.75)</f>
        <v>0.89999999999999991</v>
      </c>
      <c r="S35" s="105" t="s">
        <v>337</v>
      </c>
      <c r="T35" s="167"/>
      <c r="U35" s="108"/>
    </row>
    <row r="36" spans="1:21" ht="12.75" customHeight="1" x14ac:dyDescent="0.15">
      <c r="A36" s="178"/>
      <c r="B36" s="176"/>
      <c r="C36" s="104" t="s">
        <v>204</v>
      </c>
      <c r="D36" s="174"/>
      <c r="E36" s="174"/>
      <c r="F36" s="174"/>
      <c r="G36" s="100">
        <f>(19*0.75)</f>
        <v>14.25</v>
      </c>
      <c r="H36" s="104" t="s">
        <v>337</v>
      </c>
      <c r="I36" s="166"/>
      <c r="J36" s="102"/>
      <c r="K36" s="110"/>
      <c r="L36" s="158">
        <v>25</v>
      </c>
      <c r="M36" s="158" t="s">
        <v>394</v>
      </c>
      <c r="N36" s="131" t="s">
        <v>167</v>
      </c>
      <c r="O36" s="164" t="s">
        <v>395</v>
      </c>
      <c r="P36" s="164" t="s">
        <v>396</v>
      </c>
      <c r="Q36" s="164" t="s">
        <v>397</v>
      </c>
      <c r="R36" s="98">
        <f>(580*0.75)</f>
        <v>435</v>
      </c>
      <c r="S36" s="94" t="s">
        <v>330</v>
      </c>
      <c r="T36" s="165" t="s">
        <v>398</v>
      </c>
      <c r="U36" s="95" t="s">
        <v>59</v>
      </c>
    </row>
    <row r="37" spans="1:21" ht="12.75" customHeight="1" x14ac:dyDescent="0.15">
      <c r="A37" s="178"/>
      <c r="B37" s="176"/>
      <c r="C37" s="104" t="s">
        <v>49</v>
      </c>
      <c r="D37" s="174"/>
      <c r="E37" s="174"/>
      <c r="F37" s="174"/>
      <c r="G37" s="100">
        <f>(86*0.75)</f>
        <v>64.5</v>
      </c>
      <c r="H37" s="104" t="s">
        <v>337</v>
      </c>
      <c r="I37" s="166"/>
      <c r="J37" s="102"/>
      <c r="K37" s="96"/>
      <c r="L37" s="158"/>
      <c r="M37" s="158"/>
      <c r="N37" s="111" t="s">
        <v>229</v>
      </c>
      <c r="O37" s="164"/>
      <c r="P37" s="164"/>
      <c r="Q37" s="164"/>
      <c r="R37" s="100">
        <f>(22.8*0.75)</f>
        <v>17.100000000000001</v>
      </c>
      <c r="S37" s="104" t="s">
        <v>337</v>
      </c>
      <c r="T37" s="166"/>
      <c r="U37" s="102" t="s">
        <v>399</v>
      </c>
    </row>
    <row r="38" spans="1:21" ht="12.75" customHeight="1" x14ac:dyDescent="0.15">
      <c r="A38" s="178"/>
      <c r="B38" s="176"/>
      <c r="C38" s="105" t="s">
        <v>54</v>
      </c>
      <c r="D38" s="175"/>
      <c r="E38" s="175"/>
      <c r="F38" s="175"/>
      <c r="G38" s="106">
        <f>(2.3*0.75)</f>
        <v>1.7249999999999999</v>
      </c>
      <c r="H38" s="105" t="s">
        <v>337</v>
      </c>
      <c r="I38" s="167"/>
      <c r="J38" s="108"/>
      <c r="K38" s="110"/>
      <c r="L38" s="158"/>
      <c r="M38" s="158"/>
      <c r="N38" s="104" t="s">
        <v>235</v>
      </c>
      <c r="O38" s="164"/>
      <c r="P38" s="164"/>
      <c r="Q38" s="164"/>
      <c r="R38" s="100">
        <f>(17.1*0.75)</f>
        <v>12.825000000000001</v>
      </c>
      <c r="S38" s="104" t="s">
        <v>337</v>
      </c>
      <c r="T38" s="166"/>
      <c r="U38" s="102" t="s">
        <v>368</v>
      </c>
    </row>
    <row r="39" spans="1:21" ht="12.75" customHeight="1" x14ac:dyDescent="0.15">
      <c r="A39" s="158">
        <v>9</v>
      </c>
      <c r="B39" s="176" t="s">
        <v>82</v>
      </c>
      <c r="C39" s="127" t="s">
        <v>210</v>
      </c>
      <c r="D39" s="173" t="s">
        <v>400</v>
      </c>
      <c r="E39" s="173" t="s">
        <v>378</v>
      </c>
      <c r="F39" s="173" t="s">
        <v>401</v>
      </c>
      <c r="G39" s="98">
        <f>(560*0.75)</f>
        <v>420</v>
      </c>
      <c r="H39" s="94" t="s">
        <v>330</v>
      </c>
      <c r="I39" s="165" t="s">
        <v>402</v>
      </c>
      <c r="J39" s="95" t="s">
        <v>59</v>
      </c>
      <c r="K39" s="110"/>
      <c r="L39" s="158"/>
      <c r="M39" s="158"/>
      <c r="N39" s="104" t="s">
        <v>49</v>
      </c>
      <c r="O39" s="164"/>
      <c r="P39" s="164"/>
      <c r="Q39" s="164"/>
      <c r="R39" s="100">
        <f>(81.2*0.75)</f>
        <v>60.900000000000006</v>
      </c>
      <c r="S39" s="104" t="s">
        <v>337</v>
      </c>
      <c r="T39" s="166"/>
      <c r="U39" s="102"/>
    </row>
    <row r="40" spans="1:21" ht="12.75" customHeight="1" x14ac:dyDescent="0.15">
      <c r="A40" s="163"/>
      <c r="B40" s="176"/>
      <c r="C40" s="104" t="s">
        <v>214</v>
      </c>
      <c r="D40" s="174"/>
      <c r="E40" s="174"/>
      <c r="F40" s="174"/>
      <c r="G40" s="100">
        <f>(19*0.75)</f>
        <v>14.25</v>
      </c>
      <c r="H40" s="104" t="s">
        <v>337</v>
      </c>
      <c r="I40" s="166"/>
      <c r="J40" s="102" t="s">
        <v>381</v>
      </c>
      <c r="K40" s="110"/>
      <c r="L40" s="158"/>
      <c r="M40" s="158"/>
      <c r="N40" s="105"/>
      <c r="O40" s="164"/>
      <c r="P40" s="164"/>
      <c r="Q40" s="164"/>
      <c r="R40" s="106">
        <f>(2.7*0.75)</f>
        <v>2.0250000000000004</v>
      </c>
      <c r="S40" s="105" t="s">
        <v>337</v>
      </c>
      <c r="T40" s="167"/>
      <c r="U40" s="108"/>
    </row>
    <row r="41" spans="1:21" ht="12.75" customHeight="1" x14ac:dyDescent="0.15">
      <c r="A41" s="163"/>
      <c r="B41" s="176"/>
      <c r="C41" s="104" t="s">
        <v>217</v>
      </c>
      <c r="D41" s="174"/>
      <c r="E41" s="174"/>
      <c r="F41" s="174"/>
      <c r="G41" s="100">
        <f>(19.2*0.75)</f>
        <v>14.399999999999999</v>
      </c>
      <c r="H41" s="104" t="s">
        <v>337</v>
      </c>
      <c r="I41" s="166"/>
      <c r="J41" s="102"/>
      <c r="K41" s="110"/>
      <c r="L41" s="158">
        <v>28</v>
      </c>
      <c r="M41" s="158" t="s">
        <v>362</v>
      </c>
      <c r="N41" s="94" t="s">
        <v>195</v>
      </c>
      <c r="O41" s="164" t="s">
        <v>403</v>
      </c>
      <c r="P41" s="164" t="s">
        <v>404</v>
      </c>
      <c r="Q41" s="164" t="s">
        <v>405</v>
      </c>
      <c r="R41" s="98">
        <f>(552*0.75)</f>
        <v>414</v>
      </c>
      <c r="S41" s="94" t="s">
        <v>330</v>
      </c>
      <c r="T41" s="165" t="s">
        <v>406</v>
      </c>
      <c r="U41" s="95" t="s">
        <v>59</v>
      </c>
    </row>
    <row r="42" spans="1:21" ht="12.75" customHeight="1" x14ac:dyDescent="0.15">
      <c r="A42" s="163"/>
      <c r="B42" s="176"/>
      <c r="C42" s="104"/>
      <c r="D42" s="174"/>
      <c r="E42" s="174"/>
      <c r="F42" s="174"/>
      <c r="G42" s="100">
        <f>(74.7*0.75)</f>
        <v>56.025000000000006</v>
      </c>
      <c r="H42" s="104" t="s">
        <v>337</v>
      </c>
      <c r="I42" s="166"/>
      <c r="J42" s="102"/>
      <c r="K42" s="96"/>
      <c r="L42" s="158"/>
      <c r="M42" s="158"/>
      <c r="N42" s="132" t="s">
        <v>239</v>
      </c>
      <c r="O42" s="164"/>
      <c r="P42" s="164"/>
      <c r="Q42" s="164"/>
      <c r="R42" s="100">
        <f>(22.6*0.75)</f>
        <v>16.950000000000003</v>
      </c>
      <c r="S42" s="104" t="s">
        <v>407</v>
      </c>
      <c r="T42" s="166"/>
      <c r="U42" s="102" t="s">
        <v>384</v>
      </c>
    </row>
    <row r="43" spans="1:21" ht="12.75" customHeight="1" x14ac:dyDescent="0.15">
      <c r="A43" s="163"/>
      <c r="B43" s="176"/>
      <c r="C43" s="105"/>
      <c r="D43" s="175"/>
      <c r="E43" s="175"/>
      <c r="F43" s="175"/>
      <c r="G43" s="106">
        <f>(1.3*0.75)</f>
        <v>0.97500000000000009</v>
      </c>
      <c r="H43" s="105" t="s">
        <v>407</v>
      </c>
      <c r="I43" s="167"/>
      <c r="J43" s="108"/>
      <c r="K43" s="110"/>
      <c r="L43" s="158"/>
      <c r="M43" s="158"/>
      <c r="N43" s="104" t="s">
        <v>244</v>
      </c>
      <c r="O43" s="164"/>
      <c r="P43" s="164"/>
      <c r="Q43" s="164"/>
      <c r="R43" s="100">
        <f>(17.9*0.75)</f>
        <v>13.424999999999999</v>
      </c>
      <c r="S43" s="104" t="s">
        <v>407</v>
      </c>
      <c r="T43" s="166"/>
      <c r="U43" s="102"/>
    </row>
    <row r="44" spans="1:21" ht="12.75" customHeight="1" x14ac:dyDescent="0.15">
      <c r="A44" s="158">
        <v>10</v>
      </c>
      <c r="B44" s="176" t="s">
        <v>331</v>
      </c>
      <c r="C44" s="92" t="s">
        <v>15</v>
      </c>
      <c r="D44" s="173" t="s">
        <v>408</v>
      </c>
      <c r="E44" s="173" t="s">
        <v>409</v>
      </c>
      <c r="F44" s="173" t="s">
        <v>410</v>
      </c>
      <c r="G44" s="98">
        <f>(564*0.75)</f>
        <v>423</v>
      </c>
      <c r="H44" s="94" t="s">
        <v>411</v>
      </c>
      <c r="I44" s="165" t="s">
        <v>246</v>
      </c>
      <c r="J44" s="95" t="s">
        <v>59</v>
      </c>
      <c r="K44" s="110"/>
      <c r="L44" s="158"/>
      <c r="M44" s="158"/>
      <c r="N44" s="104" t="s">
        <v>49</v>
      </c>
      <c r="O44" s="164"/>
      <c r="P44" s="164"/>
      <c r="Q44" s="164"/>
      <c r="R44" s="100">
        <f>(73.2*0.75)</f>
        <v>54.900000000000006</v>
      </c>
      <c r="S44" s="104" t="s">
        <v>407</v>
      </c>
      <c r="T44" s="166"/>
      <c r="U44" s="102"/>
    </row>
    <row r="45" spans="1:21" ht="12.75" customHeight="1" x14ac:dyDescent="0.15">
      <c r="A45" s="163"/>
      <c r="B45" s="176"/>
      <c r="C45" s="99" t="s">
        <v>220</v>
      </c>
      <c r="D45" s="174"/>
      <c r="E45" s="174"/>
      <c r="F45" s="174"/>
      <c r="G45" s="100">
        <f>(20.1*0.75)</f>
        <v>15.075000000000001</v>
      </c>
      <c r="H45" s="104" t="s">
        <v>407</v>
      </c>
      <c r="I45" s="166"/>
      <c r="J45" s="102" t="s">
        <v>412</v>
      </c>
      <c r="K45" s="110"/>
      <c r="L45" s="158"/>
      <c r="M45" s="158"/>
      <c r="N45" s="105"/>
      <c r="O45" s="164"/>
      <c r="P45" s="164"/>
      <c r="Q45" s="164"/>
      <c r="R45" s="106">
        <f>(1.5*0.75)</f>
        <v>1.125</v>
      </c>
      <c r="S45" s="105" t="s">
        <v>407</v>
      </c>
      <c r="T45" s="167"/>
      <c r="U45" s="108"/>
    </row>
    <row r="46" spans="1:21" ht="12.75" customHeight="1" x14ac:dyDescent="0.15">
      <c r="A46" s="163"/>
      <c r="B46" s="176"/>
      <c r="C46" s="104" t="s">
        <v>225</v>
      </c>
      <c r="D46" s="174"/>
      <c r="E46" s="174"/>
      <c r="F46" s="174"/>
      <c r="G46" s="100">
        <f>(14.9*0.75)</f>
        <v>11.175000000000001</v>
      </c>
      <c r="H46" s="104" t="s">
        <v>407</v>
      </c>
      <c r="I46" s="166"/>
      <c r="J46" s="102"/>
      <c r="K46" s="110"/>
      <c r="L46" s="171">
        <v>29</v>
      </c>
      <c r="M46" s="158" t="s">
        <v>326</v>
      </c>
      <c r="N46" s="92" t="s">
        <v>15</v>
      </c>
      <c r="O46" s="164" t="s">
        <v>413</v>
      </c>
      <c r="P46" s="164" t="s">
        <v>414</v>
      </c>
      <c r="Q46" s="164" t="s">
        <v>415</v>
      </c>
      <c r="R46" s="98">
        <f>(615*0.75)</f>
        <v>461.25</v>
      </c>
      <c r="S46" s="94" t="s">
        <v>411</v>
      </c>
      <c r="T46" s="165" t="s">
        <v>246</v>
      </c>
      <c r="U46" s="95" t="s">
        <v>59</v>
      </c>
    </row>
    <row r="47" spans="1:21" ht="12.75" customHeight="1" x14ac:dyDescent="0.15">
      <c r="A47" s="163"/>
      <c r="B47" s="176"/>
      <c r="C47" s="104" t="s">
        <v>147</v>
      </c>
      <c r="D47" s="174"/>
      <c r="E47" s="174"/>
      <c r="F47" s="174"/>
      <c r="G47" s="100">
        <f>(85.8*0.75)</f>
        <v>64.349999999999994</v>
      </c>
      <c r="H47" s="104" t="s">
        <v>407</v>
      </c>
      <c r="I47" s="166"/>
      <c r="J47" s="102"/>
      <c r="K47" s="96"/>
      <c r="L47" s="171"/>
      <c r="M47" s="158"/>
      <c r="N47" s="99" t="s">
        <v>16</v>
      </c>
      <c r="O47" s="177"/>
      <c r="P47" s="177"/>
      <c r="Q47" s="177"/>
      <c r="R47" s="100">
        <f>(17.2*0.75)</f>
        <v>12.899999999999999</v>
      </c>
      <c r="S47" s="104" t="s">
        <v>407</v>
      </c>
      <c r="T47" s="166"/>
      <c r="U47" s="102" t="s">
        <v>393</v>
      </c>
    </row>
    <row r="48" spans="1:21" ht="12.75" customHeight="1" x14ac:dyDescent="0.15">
      <c r="A48" s="163"/>
      <c r="B48" s="176"/>
      <c r="C48" s="105" t="s">
        <v>174</v>
      </c>
      <c r="D48" s="175"/>
      <c r="E48" s="175"/>
      <c r="F48" s="175"/>
      <c r="G48" s="106">
        <f>(1.2*0.75)</f>
        <v>0.89999999999999991</v>
      </c>
      <c r="H48" s="105" t="s">
        <v>407</v>
      </c>
      <c r="I48" s="167"/>
      <c r="J48" s="108"/>
      <c r="K48" s="110"/>
      <c r="L48" s="171"/>
      <c r="M48" s="158"/>
      <c r="N48" s="104" t="s">
        <v>36</v>
      </c>
      <c r="O48" s="177"/>
      <c r="P48" s="177"/>
      <c r="Q48" s="177"/>
      <c r="R48" s="100">
        <f>(20.3*0.75)</f>
        <v>15.225000000000001</v>
      </c>
      <c r="S48" s="104" t="s">
        <v>407</v>
      </c>
      <c r="T48" s="166"/>
      <c r="U48" s="102"/>
    </row>
    <row r="49" spans="1:21" ht="12.75" customHeight="1" x14ac:dyDescent="0.15">
      <c r="A49" s="158">
        <v>11</v>
      </c>
      <c r="B49" s="176" t="s">
        <v>394</v>
      </c>
      <c r="C49" s="131" t="s">
        <v>167</v>
      </c>
      <c r="D49" s="173" t="s">
        <v>416</v>
      </c>
      <c r="E49" s="173" t="s">
        <v>417</v>
      </c>
      <c r="F49" s="173" t="s">
        <v>418</v>
      </c>
      <c r="G49" s="98">
        <f>(580*0.75)</f>
        <v>435</v>
      </c>
      <c r="H49" s="94" t="s">
        <v>411</v>
      </c>
      <c r="I49" s="165" t="s">
        <v>419</v>
      </c>
      <c r="J49" s="95" t="s">
        <v>59</v>
      </c>
      <c r="K49" s="110"/>
      <c r="L49" s="171"/>
      <c r="M49" s="158"/>
      <c r="N49" s="104" t="s">
        <v>49</v>
      </c>
      <c r="O49" s="177"/>
      <c r="P49" s="177"/>
      <c r="Q49" s="177"/>
      <c r="R49" s="100">
        <f>(91*0.75)</f>
        <v>68.25</v>
      </c>
      <c r="S49" s="104" t="s">
        <v>407</v>
      </c>
      <c r="T49" s="166"/>
      <c r="U49" s="102"/>
    </row>
    <row r="50" spans="1:21" ht="12.75" customHeight="1" x14ac:dyDescent="0.15">
      <c r="A50" s="163"/>
      <c r="B50" s="176"/>
      <c r="C50" s="111" t="s">
        <v>229</v>
      </c>
      <c r="D50" s="174"/>
      <c r="E50" s="174"/>
      <c r="F50" s="174"/>
      <c r="G50" s="100">
        <f>(22.8*0.75)</f>
        <v>17.100000000000001</v>
      </c>
      <c r="H50" s="104" t="s">
        <v>407</v>
      </c>
      <c r="I50" s="166"/>
      <c r="J50" s="102" t="s">
        <v>420</v>
      </c>
      <c r="K50" s="110"/>
      <c r="L50" s="171"/>
      <c r="M50" s="158"/>
      <c r="N50" s="105" t="s">
        <v>54</v>
      </c>
      <c r="O50" s="177"/>
      <c r="P50" s="177"/>
      <c r="Q50" s="177"/>
      <c r="R50" s="106">
        <f>(1.3*0.75)</f>
        <v>0.97500000000000009</v>
      </c>
      <c r="S50" s="105" t="s">
        <v>407</v>
      </c>
      <c r="T50" s="167"/>
      <c r="U50" s="108"/>
    </row>
    <row r="51" spans="1:21" ht="12.75" customHeight="1" x14ac:dyDescent="0.15">
      <c r="A51" s="163"/>
      <c r="B51" s="176"/>
      <c r="C51" s="104" t="s">
        <v>235</v>
      </c>
      <c r="D51" s="174"/>
      <c r="E51" s="174"/>
      <c r="F51" s="174"/>
      <c r="G51" s="100">
        <f>(17.1*0.75)</f>
        <v>12.825000000000001</v>
      </c>
      <c r="H51" s="104" t="s">
        <v>407</v>
      </c>
      <c r="I51" s="166"/>
      <c r="J51" s="102" t="s">
        <v>421</v>
      </c>
      <c r="K51" s="110"/>
      <c r="L51" s="171">
        <v>30</v>
      </c>
      <c r="M51" s="158" t="s">
        <v>82</v>
      </c>
      <c r="N51" s="109" t="s">
        <v>87</v>
      </c>
      <c r="O51" s="164" t="s">
        <v>422</v>
      </c>
      <c r="P51" s="164" t="s">
        <v>423</v>
      </c>
      <c r="Q51" s="164" t="s">
        <v>424</v>
      </c>
      <c r="R51" s="98">
        <f>(590*0.75)</f>
        <v>442.5</v>
      </c>
      <c r="S51" s="94" t="s">
        <v>411</v>
      </c>
      <c r="T51" s="165" t="s">
        <v>425</v>
      </c>
      <c r="U51" s="95" t="s">
        <v>59</v>
      </c>
    </row>
    <row r="52" spans="1:21" ht="12.75" customHeight="1" x14ac:dyDescent="0.15">
      <c r="A52" s="163"/>
      <c r="B52" s="176"/>
      <c r="C52" s="104" t="s">
        <v>49</v>
      </c>
      <c r="D52" s="174"/>
      <c r="E52" s="174"/>
      <c r="F52" s="174"/>
      <c r="G52" s="100">
        <f>(81.2*0.75)</f>
        <v>60.900000000000006</v>
      </c>
      <c r="H52" s="104" t="s">
        <v>407</v>
      </c>
      <c r="I52" s="166"/>
      <c r="J52" s="102"/>
      <c r="K52" s="96"/>
      <c r="L52" s="171"/>
      <c r="M52" s="158"/>
      <c r="N52" s="104" t="s">
        <v>100</v>
      </c>
      <c r="O52" s="164"/>
      <c r="P52" s="164"/>
      <c r="Q52" s="164"/>
      <c r="R52" s="100">
        <f>(23.5*0.75)</f>
        <v>17.625</v>
      </c>
      <c r="S52" s="104" t="s">
        <v>407</v>
      </c>
      <c r="T52" s="166"/>
      <c r="U52" s="102" t="s">
        <v>426</v>
      </c>
    </row>
    <row r="53" spans="1:21" ht="12.75" customHeight="1" x14ac:dyDescent="0.15">
      <c r="A53" s="163"/>
      <c r="B53" s="176"/>
      <c r="C53" s="105"/>
      <c r="D53" s="175"/>
      <c r="E53" s="175"/>
      <c r="F53" s="175"/>
      <c r="G53" s="106">
        <f>(2.7*0.75)</f>
        <v>2.0250000000000004</v>
      </c>
      <c r="H53" s="105" t="s">
        <v>407</v>
      </c>
      <c r="I53" s="167"/>
      <c r="J53" s="108"/>
      <c r="K53" s="110"/>
      <c r="L53" s="171"/>
      <c r="M53" s="158"/>
      <c r="N53" s="104" t="s">
        <v>110</v>
      </c>
      <c r="O53" s="164"/>
      <c r="P53" s="164"/>
      <c r="Q53" s="164"/>
      <c r="R53" s="100">
        <f>(17.9*0.75)</f>
        <v>13.424999999999999</v>
      </c>
      <c r="S53" s="104" t="s">
        <v>407</v>
      </c>
      <c r="T53" s="166"/>
      <c r="U53" s="102" t="s">
        <v>427</v>
      </c>
    </row>
    <row r="54" spans="1:21" ht="12.75" customHeight="1" x14ac:dyDescent="0.15">
      <c r="A54" s="113"/>
      <c r="B54" s="114"/>
      <c r="C54" s="115"/>
      <c r="D54" s="116"/>
      <c r="E54" s="116"/>
      <c r="F54" s="116"/>
      <c r="G54" s="117"/>
      <c r="H54" s="115"/>
      <c r="I54" s="118"/>
      <c r="J54" s="119"/>
      <c r="K54" s="110"/>
      <c r="L54" s="171"/>
      <c r="M54" s="158"/>
      <c r="N54" s="104"/>
      <c r="O54" s="164"/>
      <c r="P54" s="164"/>
      <c r="Q54" s="164"/>
      <c r="R54" s="100">
        <f>(82*0.75)</f>
        <v>61.5</v>
      </c>
      <c r="S54" s="104" t="s">
        <v>407</v>
      </c>
      <c r="T54" s="166"/>
      <c r="U54" s="102"/>
    </row>
    <row r="55" spans="1:21" ht="12.75" customHeight="1" x14ac:dyDescent="0.15">
      <c r="A55" s="120"/>
      <c r="B55" s="121"/>
      <c r="C55" s="122"/>
      <c r="D55" s="123"/>
      <c r="E55" s="123"/>
      <c r="F55" s="123"/>
      <c r="G55" s="124"/>
      <c r="H55" s="122"/>
      <c r="I55" s="125"/>
      <c r="J55" s="126"/>
      <c r="K55" s="110"/>
      <c r="L55" s="171"/>
      <c r="M55" s="158"/>
      <c r="N55" s="105"/>
      <c r="O55" s="164"/>
      <c r="P55" s="164"/>
      <c r="Q55" s="164"/>
      <c r="R55" s="106">
        <f>(3.6*0.75)</f>
        <v>2.7</v>
      </c>
      <c r="S55" s="105" t="s">
        <v>407</v>
      </c>
      <c r="T55" s="167"/>
      <c r="U55" s="108"/>
    </row>
    <row r="56" spans="1:21" ht="12.75" customHeight="1" x14ac:dyDescent="0.15">
      <c r="A56" s="171">
        <v>15</v>
      </c>
      <c r="B56" s="172" t="s">
        <v>326</v>
      </c>
      <c r="C56" s="104" t="s">
        <v>15</v>
      </c>
      <c r="D56" s="173" t="s">
        <v>428</v>
      </c>
      <c r="E56" s="173" t="s">
        <v>328</v>
      </c>
      <c r="F56" s="173" t="s">
        <v>429</v>
      </c>
      <c r="G56" s="98">
        <f>(600*0.75)</f>
        <v>450</v>
      </c>
      <c r="H56" s="94" t="s">
        <v>411</v>
      </c>
      <c r="I56" s="165" t="s">
        <v>246</v>
      </c>
      <c r="J56" s="95" t="s">
        <v>59</v>
      </c>
      <c r="K56" s="110"/>
      <c r="L56" s="168" t="s">
        <v>430</v>
      </c>
      <c r="M56" s="170" t="s">
        <v>346</v>
      </c>
      <c r="N56" s="97" t="s">
        <v>431</v>
      </c>
      <c r="O56" s="164" t="s">
        <v>432</v>
      </c>
      <c r="P56" s="164" t="s">
        <v>433</v>
      </c>
      <c r="Q56" s="164" t="s">
        <v>434</v>
      </c>
      <c r="R56" s="98">
        <f>(651*0.75)</f>
        <v>488.25</v>
      </c>
      <c r="S56" s="94" t="s">
        <v>411</v>
      </c>
      <c r="T56" s="165" t="s">
        <v>435</v>
      </c>
      <c r="U56" s="95" t="s">
        <v>59</v>
      </c>
    </row>
    <row r="57" spans="1:21" ht="12.75" customHeight="1" x14ac:dyDescent="0.15">
      <c r="A57" s="158"/>
      <c r="B57" s="172"/>
      <c r="C57" s="99" t="s">
        <v>16</v>
      </c>
      <c r="D57" s="174"/>
      <c r="E57" s="174"/>
      <c r="F57" s="174"/>
      <c r="G57" s="100">
        <f>(17.9*0.75)</f>
        <v>13.424999999999999</v>
      </c>
      <c r="H57" s="104" t="s">
        <v>407</v>
      </c>
      <c r="I57" s="166"/>
      <c r="J57" s="102" t="s">
        <v>436</v>
      </c>
      <c r="K57" s="96"/>
      <c r="L57" s="169"/>
      <c r="M57" s="170"/>
      <c r="N57" s="104" t="s">
        <v>136</v>
      </c>
      <c r="O57" s="164"/>
      <c r="P57" s="164"/>
      <c r="Q57" s="164"/>
      <c r="R57" s="100">
        <f>(22*0.75)</f>
        <v>16.5</v>
      </c>
      <c r="S57" s="104" t="s">
        <v>407</v>
      </c>
      <c r="T57" s="166"/>
      <c r="U57" s="102" t="s">
        <v>437</v>
      </c>
    </row>
    <row r="58" spans="1:21" ht="12.75" customHeight="1" x14ac:dyDescent="0.15">
      <c r="A58" s="158"/>
      <c r="B58" s="172"/>
      <c r="C58" s="104" t="s">
        <v>36</v>
      </c>
      <c r="D58" s="174"/>
      <c r="E58" s="174"/>
      <c r="F58" s="174"/>
      <c r="G58" s="100">
        <f>(20.3*0.75)</f>
        <v>15.225000000000001</v>
      </c>
      <c r="H58" s="104" t="s">
        <v>407</v>
      </c>
      <c r="I58" s="166"/>
      <c r="J58" s="102"/>
      <c r="K58" s="110"/>
      <c r="L58" s="169"/>
      <c r="M58" s="170"/>
      <c r="N58" s="104" t="s">
        <v>54</v>
      </c>
      <c r="O58" s="164"/>
      <c r="P58" s="164"/>
      <c r="Q58" s="164"/>
      <c r="R58" s="100">
        <f>(19.2*0.75)</f>
        <v>14.399999999999999</v>
      </c>
      <c r="S58" s="104" t="s">
        <v>407</v>
      </c>
      <c r="T58" s="166"/>
      <c r="U58" s="102"/>
    </row>
    <row r="59" spans="1:21" ht="12.75" customHeight="1" x14ac:dyDescent="0.15">
      <c r="A59" s="158"/>
      <c r="B59" s="172"/>
      <c r="C59" s="104" t="s">
        <v>49</v>
      </c>
      <c r="D59" s="174"/>
      <c r="E59" s="174"/>
      <c r="F59" s="174"/>
      <c r="G59" s="100">
        <f>(86.2*0.75)</f>
        <v>64.650000000000006</v>
      </c>
      <c r="H59" s="104" t="s">
        <v>407</v>
      </c>
      <c r="I59" s="166"/>
      <c r="J59" s="102"/>
      <c r="K59" s="110"/>
      <c r="L59" s="169"/>
      <c r="M59" s="170"/>
      <c r="N59" s="104"/>
      <c r="O59" s="164"/>
      <c r="P59" s="164"/>
      <c r="Q59" s="164"/>
      <c r="R59" s="100">
        <f>(95.7*0.75)</f>
        <v>71.775000000000006</v>
      </c>
      <c r="S59" s="104" t="s">
        <v>407</v>
      </c>
      <c r="T59" s="166"/>
      <c r="U59" s="102"/>
    </row>
    <row r="60" spans="1:21" ht="12.75" customHeight="1" x14ac:dyDescent="0.15">
      <c r="A60" s="158"/>
      <c r="B60" s="172"/>
      <c r="C60" s="105" t="s">
        <v>182</v>
      </c>
      <c r="D60" s="175"/>
      <c r="E60" s="175"/>
      <c r="F60" s="175"/>
      <c r="G60" s="106">
        <f>(1.3*0.75)</f>
        <v>0.97500000000000009</v>
      </c>
      <c r="H60" s="105" t="s">
        <v>407</v>
      </c>
      <c r="I60" s="167"/>
      <c r="J60" s="108"/>
      <c r="K60" s="110"/>
      <c r="L60" s="169"/>
      <c r="M60" s="170"/>
      <c r="N60" s="105"/>
      <c r="O60" s="164"/>
      <c r="P60" s="164"/>
      <c r="Q60" s="164"/>
      <c r="R60" s="106">
        <f>(1.9*0.75)</f>
        <v>1.4249999999999998</v>
      </c>
      <c r="S60" s="105" t="s">
        <v>407</v>
      </c>
      <c r="T60" s="167"/>
      <c r="U60" s="108"/>
    </row>
    <row r="61" spans="1:21" ht="12.75" customHeight="1" x14ac:dyDescent="0.15">
      <c r="A61" s="158">
        <v>16</v>
      </c>
      <c r="B61" s="158" t="s">
        <v>82</v>
      </c>
      <c r="C61" s="109" t="s">
        <v>87</v>
      </c>
      <c r="D61" s="164" t="s">
        <v>438</v>
      </c>
      <c r="E61" s="164" t="s">
        <v>439</v>
      </c>
      <c r="F61" s="164" t="s">
        <v>440</v>
      </c>
      <c r="G61" s="93">
        <f>(589*0.75)</f>
        <v>441.75</v>
      </c>
      <c r="H61" s="94" t="s">
        <v>411</v>
      </c>
      <c r="I61" s="165" t="s">
        <v>425</v>
      </c>
      <c r="J61" s="95" t="s">
        <v>59</v>
      </c>
      <c r="K61" s="110"/>
      <c r="L61" s="157" t="s">
        <v>441</v>
      </c>
      <c r="M61" s="157"/>
      <c r="N61" s="157"/>
      <c r="O61" s="157"/>
      <c r="P61" s="157"/>
      <c r="Q61" s="157"/>
      <c r="R61" s="157"/>
      <c r="S61" s="157"/>
      <c r="T61" s="157"/>
      <c r="U61" s="157"/>
    </row>
    <row r="62" spans="1:21" ht="12.75" customHeight="1" x14ac:dyDescent="0.15">
      <c r="A62" s="163"/>
      <c r="B62" s="158"/>
      <c r="C62" s="104" t="s">
        <v>100</v>
      </c>
      <c r="D62" s="164"/>
      <c r="E62" s="164"/>
      <c r="F62" s="164"/>
      <c r="G62" s="100">
        <f>(23.3*0.75)</f>
        <v>17.475000000000001</v>
      </c>
      <c r="H62" s="101" t="s">
        <v>407</v>
      </c>
      <c r="I62" s="166"/>
      <c r="J62" s="102" t="s">
        <v>354</v>
      </c>
      <c r="K62" s="96"/>
      <c r="L62" s="133" t="s">
        <v>442</v>
      </c>
      <c r="M62" s="134"/>
      <c r="N62" s="134"/>
      <c r="O62" s="134"/>
      <c r="P62" s="134"/>
      <c r="Q62" s="134"/>
      <c r="R62" s="88"/>
      <c r="U62" s="134"/>
    </row>
    <row r="63" spans="1:21" ht="12.75" customHeight="1" x14ac:dyDescent="0.15">
      <c r="A63" s="163"/>
      <c r="B63" s="158"/>
      <c r="C63" s="104" t="s">
        <v>54</v>
      </c>
      <c r="D63" s="164"/>
      <c r="E63" s="164"/>
      <c r="F63" s="164"/>
      <c r="G63" s="100">
        <f>(18*0.75)</f>
        <v>13.5</v>
      </c>
      <c r="H63" s="101" t="s">
        <v>407</v>
      </c>
      <c r="I63" s="166"/>
      <c r="J63" s="102"/>
      <c r="K63" s="110"/>
      <c r="L63" s="135" t="s">
        <v>443</v>
      </c>
      <c r="M63" s="136"/>
      <c r="N63" s="137"/>
      <c r="O63" s="138"/>
      <c r="P63" s="138"/>
      <c r="Q63" s="138"/>
      <c r="R63" s="88"/>
      <c r="U63" s="89"/>
    </row>
    <row r="64" spans="1:21" ht="12.75" customHeight="1" x14ac:dyDescent="0.15">
      <c r="A64" s="163"/>
      <c r="B64" s="158"/>
      <c r="C64" s="104"/>
      <c r="D64" s="164"/>
      <c r="E64" s="164"/>
      <c r="F64" s="164"/>
      <c r="G64" s="100">
        <f>(81.6*0.75)</f>
        <v>61.199999999999996</v>
      </c>
      <c r="H64" s="101" t="s">
        <v>407</v>
      </c>
      <c r="I64" s="166"/>
      <c r="J64" s="102"/>
      <c r="K64" s="110"/>
      <c r="L64" s="135" t="s">
        <v>444</v>
      </c>
      <c r="M64" s="136"/>
      <c r="N64" s="137"/>
      <c r="O64" s="138"/>
      <c r="P64" s="138"/>
      <c r="Q64" s="138"/>
      <c r="U64" s="138"/>
    </row>
    <row r="65" spans="1:21" ht="12.75" customHeight="1" x14ac:dyDescent="0.15">
      <c r="A65" s="163"/>
      <c r="B65" s="158"/>
      <c r="C65" s="105"/>
      <c r="D65" s="164"/>
      <c r="E65" s="164"/>
      <c r="F65" s="164"/>
      <c r="G65" s="106">
        <f>(3.6*0.75)</f>
        <v>2.7</v>
      </c>
      <c r="H65" s="107" t="s">
        <v>407</v>
      </c>
      <c r="I65" s="167"/>
      <c r="J65" s="108"/>
      <c r="K65" s="110"/>
      <c r="L65" s="96" t="s">
        <v>445</v>
      </c>
      <c r="M65" s="139"/>
      <c r="N65" s="139"/>
      <c r="O65" s="139"/>
      <c r="P65" s="139"/>
      <c r="Q65" s="139"/>
      <c r="U65" s="139"/>
    </row>
    <row r="66" spans="1:21" ht="12.75" customHeight="1" x14ac:dyDescent="0.15">
      <c r="A66" s="158" t="s">
        <v>446</v>
      </c>
      <c r="B66" s="158"/>
      <c r="C66" s="140" t="s">
        <v>447</v>
      </c>
      <c r="D66" s="159" t="s">
        <v>448</v>
      </c>
      <c r="E66" s="160"/>
      <c r="F66" s="160"/>
      <c r="G66" s="160"/>
      <c r="H66" s="160"/>
      <c r="I66" s="161"/>
      <c r="K66" s="110"/>
      <c r="L66" s="96" t="s">
        <v>449</v>
      </c>
      <c r="M66" s="139"/>
      <c r="N66" s="139"/>
      <c r="O66" s="139"/>
      <c r="P66" s="139"/>
      <c r="Q66" s="139"/>
      <c r="U66" s="139"/>
    </row>
    <row r="67" spans="1:21" ht="12.75" customHeight="1" x14ac:dyDescent="0.15">
      <c r="A67" s="158"/>
      <c r="B67" s="158"/>
      <c r="C67" s="140" t="s">
        <v>450</v>
      </c>
      <c r="D67" s="141" t="s">
        <v>451</v>
      </c>
      <c r="E67" s="141" t="s">
        <v>452</v>
      </c>
      <c r="F67" s="141" t="s">
        <v>453</v>
      </c>
      <c r="G67" s="158" t="s">
        <v>454</v>
      </c>
      <c r="H67" s="158"/>
      <c r="I67" s="142" t="s">
        <v>455</v>
      </c>
      <c r="K67" s="96"/>
      <c r="L67" s="96" t="s">
        <v>456</v>
      </c>
      <c r="M67" s="103"/>
      <c r="N67" s="110"/>
      <c r="O67" s="143"/>
      <c r="P67" s="143"/>
      <c r="Q67" s="143"/>
      <c r="U67" s="144"/>
    </row>
    <row r="68" spans="1:21" ht="12.75" customHeight="1" x14ac:dyDescent="0.15">
      <c r="A68" s="145" t="s">
        <v>457</v>
      </c>
      <c r="B68" s="146" t="s">
        <v>458</v>
      </c>
      <c r="C68" s="140" t="s">
        <v>459</v>
      </c>
      <c r="D68" s="147">
        <f>18695/31</f>
        <v>603.06451612903231</v>
      </c>
      <c r="E68" s="148">
        <f>674.800000000002/31</f>
        <v>21.767741935483937</v>
      </c>
      <c r="F68" s="148">
        <f>552.000000000001/31</f>
        <v>17.80645161290326</v>
      </c>
      <c r="G68" s="162">
        <f>2682.4/31</f>
        <v>86.529032258064518</v>
      </c>
      <c r="H68" s="162"/>
      <c r="I68" s="149">
        <f>54.3000000000002/31</f>
        <v>1.751612903225813</v>
      </c>
      <c r="K68" s="110"/>
      <c r="L68" s="96" t="s">
        <v>460</v>
      </c>
      <c r="M68" s="110"/>
      <c r="N68" s="110"/>
      <c r="O68" s="110"/>
      <c r="P68" s="110"/>
      <c r="Q68" s="110"/>
      <c r="U68" s="110"/>
    </row>
    <row r="69" spans="1:21" ht="12.75" customHeight="1" x14ac:dyDescent="0.15">
      <c r="A69" s="145" t="s">
        <v>461</v>
      </c>
      <c r="B69" s="146" t="s">
        <v>458</v>
      </c>
      <c r="C69" s="140" t="s">
        <v>462</v>
      </c>
      <c r="D69" s="147">
        <f>(18695*0.75)/31</f>
        <v>452.29838709677421</v>
      </c>
      <c r="E69" s="148">
        <f>(674.800000000002*0.75)/31</f>
        <v>16.325806451612952</v>
      </c>
      <c r="F69" s="148">
        <f>(552.000000000001*0.75)/31</f>
        <v>13.354838709677445</v>
      </c>
      <c r="G69" s="162">
        <f>(2682.4*0.75)/31</f>
        <v>64.896774193548396</v>
      </c>
      <c r="H69" s="162"/>
      <c r="I69" s="149">
        <f>(54.3000000000002*0.75)/31</f>
        <v>1.3137096774193597</v>
      </c>
      <c r="K69" s="110"/>
      <c r="L69" s="150" t="s">
        <v>463</v>
      </c>
    </row>
    <row r="70" spans="1:21" ht="12.75" customHeight="1" x14ac:dyDescent="0.15">
      <c r="A70" s="151"/>
      <c r="B70" s="152"/>
      <c r="C70" s="153"/>
      <c r="D70" s="154"/>
      <c r="E70" s="155"/>
      <c r="F70" s="155"/>
      <c r="G70" s="156"/>
      <c r="H70" s="110"/>
      <c r="J70" s="156"/>
      <c r="K70" s="110"/>
      <c r="L70" s="150" t="s">
        <v>464</v>
      </c>
    </row>
    <row r="71" spans="1:21" ht="12.75" customHeight="1" x14ac:dyDescent="0.15">
      <c r="A71" s="150"/>
      <c r="H71" s="110"/>
      <c r="K71" s="110"/>
      <c r="L71" s="150" t="s">
        <v>465</v>
      </c>
    </row>
    <row r="72" spans="1:21" ht="12.75" customHeight="1" x14ac:dyDescent="0.15">
      <c r="A72" s="150"/>
      <c r="K72" s="96"/>
      <c r="L72" s="150" t="s">
        <v>466</v>
      </c>
      <c r="P72" s="89"/>
    </row>
    <row r="73" spans="1:21" ht="12.75" customHeight="1" x14ac:dyDescent="0.15">
      <c r="K73" s="110"/>
      <c r="L73" s="150" t="s">
        <v>467</v>
      </c>
      <c r="P73" s="89"/>
    </row>
    <row r="74" spans="1:21" ht="12.75" customHeight="1" x14ac:dyDescent="0.15">
      <c r="K74" s="110"/>
      <c r="L74" s="150" t="s">
        <v>468</v>
      </c>
      <c r="P74" s="89"/>
    </row>
    <row r="75" spans="1:21" ht="12.75" customHeight="1" x14ac:dyDescent="0.15">
      <c r="K75" s="110"/>
      <c r="P75" s="89"/>
    </row>
    <row r="76" spans="1:21" ht="12.75" customHeight="1" x14ac:dyDescent="0.15">
      <c r="K76" s="110"/>
      <c r="P76" s="89"/>
    </row>
    <row r="77" spans="1:21" ht="12.75" customHeight="1" x14ac:dyDescent="0.15">
      <c r="K77" s="96"/>
      <c r="P77" s="89"/>
    </row>
    <row r="78" spans="1:21" ht="12.75" customHeight="1" x14ac:dyDescent="0.15">
      <c r="K78" s="110"/>
    </row>
    <row r="79" spans="1:21" ht="12.75" customHeight="1" x14ac:dyDescent="0.15">
      <c r="K79" s="110"/>
    </row>
    <row r="80" spans="1:21" ht="12.75" customHeight="1" x14ac:dyDescent="0.15">
      <c r="K80" s="110"/>
    </row>
    <row r="81" spans="11:11" ht="12.75" customHeight="1" x14ac:dyDescent="0.15">
      <c r="K81" s="110"/>
    </row>
    <row r="82" spans="11:11" ht="12.75" customHeight="1" x14ac:dyDescent="0.15">
      <c r="K82" s="110"/>
    </row>
    <row r="83" spans="11:11" ht="12.75" customHeight="1" x14ac:dyDescent="0.15">
      <c r="K83" s="110"/>
    </row>
    <row r="84" spans="11:11" ht="12.75" customHeight="1" x14ac:dyDescent="0.15">
      <c r="K84" s="110"/>
    </row>
    <row r="85" spans="11:11" ht="12.75" customHeight="1" x14ac:dyDescent="0.15">
      <c r="K85" s="110"/>
    </row>
    <row r="86" spans="11:11" ht="12.75" customHeight="1" x14ac:dyDescent="0.15">
      <c r="K86" s="110"/>
    </row>
    <row r="87" spans="11:11" ht="12.75" customHeight="1" x14ac:dyDescent="0.15">
      <c r="K87" s="110"/>
    </row>
    <row r="88" spans="11:11" ht="12.75" customHeight="1" x14ac:dyDescent="0.15"/>
    <row r="89" spans="11:11" ht="12.75" customHeight="1" x14ac:dyDescent="0.15"/>
    <row r="90" spans="11:11" ht="12.75" customHeight="1" x14ac:dyDescent="0.15"/>
  </sheetData>
  <mergeCells count="154">
    <mergeCell ref="L2:L6"/>
    <mergeCell ref="D3:D6"/>
    <mergeCell ref="E3:E6"/>
    <mergeCell ref="F3:F6"/>
    <mergeCell ref="G3:H6"/>
    <mergeCell ref="I3:I6"/>
    <mergeCell ref="J3:J6"/>
    <mergeCell ref="A2:A6"/>
    <mergeCell ref="B2:B6"/>
    <mergeCell ref="C2:C6"/>
    <mergeCell ref="D2:F2"/>
    <mergeCell ref="G2:I2"/>
    <mergeCell ref="O3:O6"/>
    <mergeCell ref="P3:P6"/>
    <mergeCell ref="Q3:Q6"/>
    <mergeCell ref="R3:S6"/>
    <mergeCell ref="T3:T6"/>
    <mergeCell ref="U3:U6"/>
    <mergeCell ref="M2:M6"/>
    <mergeCell ref="N2:N6"/>
    <mergeCell ref="O2:Q2"/>
    <mergeCell ref="R2:T2"/>
    <mergeCell ref="L7:L11"/>
    <mergeCell ref="M7:M11"/>
    <mergeCell ref="O7:O11"/>
    <mergeCell ref="P7:P11"/>
    <mergeCell ref="Q7:Q11"/>
    <mergeCell ref="T7:T11"/>
    <mergeCell ref="A7:A11"/>
    <mergeCell ref="B7:B11"/>
    <mergeCell ref="D7:D11"/>
    <mergeCell ref="E7:E11"/>
    <mergeCell ref="F7:F11"/>
    <mergeCell ref="I7:I11"/>
    <mergeCell ref="L12:L16"/>
    <mergeCell ref="M12:M16"/>
    <mergeCell ref="O12:O16"/>
    <mergeCell ref="P12:P16"/>
    <mergeCell ref="Q12:Q16"/>
    <mergeCell ref="T12:T16"/>
    <mergeCell ref="A12:A16"/>
    <mergeCell ref="B12:B16"/>
    <mergeCell ref="D12:D16"/>
    <mergeCell ref="E12:E16"/>
    <mergeCell ref="F12:F16"/>
    <mergeCell ref="I12:I16"/>
    <mergeCell ref="L19:L23"/>
    <mergeCell ref="M19:M23"/>
    <mergeCell ref="O19:O23"/>
    <mergeCell ref="P19:P23"/>
    <mergeCell ref="Q19:Q23"/>
    <mergeCell ref="T19:T23"/>
    <mergeCell ref="A17:A21"/>
    <mergeCell ref="B17:B21"/>
    <mergeCell ref="D17:D21"/>
    <mergeCell ref="E17:E21"/>
    <mergeCell ref="F17:F21"/>
    <mergeCell ref="I17:I21"/>
    <mergeCell ref="L31:L35"/>
    <mergeCell ref="M31:M35"/>
    <mergeCell ref="O31:O35"/>
    <mergeCell ref="P31:P35"/>
    <mergeCell ref="Q31:Q35"/>
    <mergeCell ref="T31:T35"/>
    <mergeCell ref="A29:A33"/>
    <mergeCell ref="B29:B33"/>
    <mergeCell ref="D29:D33"/>
    <mergeCell ref="E29:E33"/>
    <mergeCell ref="F29:F33"/>
    <mergeCell ref="I29:I33"/>
    <mergeCell ref="L26:L30"/>
    <mergeCell ref="M26:M30"/>
    <mergeCell ref="O26:O30"/>
    <mergeCell ref="P26:P30"/>
    <mergeCell ref="Q26:Q30"/>
    <mergeCell ref="T26:T30"/>
    <mergeCell ref="A22:A26"/>
    <mergeCell ref="B22:B26"/>
    <mergeCell ref="D22:D26"/>
    <mergeCell ref="E22:E26"/>
    <mergeCell ref="F22:F26"/>
    <mergeCell ref="I22:I26"/>
    <mergeCell ref="L41:L45"/>
    <mergeCell ref="M41:M45"/>
    <mergeCell ref="O41:O45"/>
    <mergeCell ref="P41:P45"/>
    <mergeCell ref="Q41:Q45"/>
    <mergeCell ref="T41:T45"/>
    <mergeCell ref="A39:A43"/>
    <mergeCell ref="B39:B43"/>
    <mergeCell ref="D39:D43"/>
    <mergeCell ref="E39:E43"/>
    <mergeCell ref="F39:F43"/>
    <mergeCell ref="I39:I43"/>
    <mergeCell ref="L36:L40"/>
    <mergeCell ref="M36:M40"/>
    <mergeCell ref="O36:O40"/>
    <mergeCell ref="P36:P40"/>
    <mergeCell ref="Q36:Q40"/>
    <mergeCell ref="T36:T40"/>
    <mergeCell ref="A34:A38"/>
    <mergeCell ref="B34:B38"/>
    <mergeCell ref="D34:D38"/>
    <mergeCell ref="E34:E38"/>
    <mergeCell ref="F34:F38"/>
    <mergeCell ref="I34:I38"/>
    <mergeCell ref="L51:L55"/>
    <mergeCell ref="M51:M55"/>
    <mergeCell ref="O51:O55"/>
    <mergeCell ref="P51:P55"/>
    <mergeCell ref="Q51:Q55"/>
    <mergeCell ref="T51:T55"/>
    <mergeCell ref="A49:A53"/>
    <mergeCell ref="B49:B53"/>
    <mergeCell ref="D49:D53"/>
    <mergeCell ref="E49:E53"/>
    <mergeCell ref="F49:F53"/>
    <mergeCell ref="I49:I53"/>
    <mergeCell ref="L46:L50"/>
    <mergeCell ref="M46:M50"/>
    <mergeCell ref="O46:O50"/>
    <mergeCell ref="P46:P50"/>
    <mergeCell ref="Q46:Q50"/>
    <mergeCell ref="T46:T50"/>
    <mergeCell ref="A44:A48"/>
    <mergeCell ref="B44:B48"/>
    <mergeCell ref="D44:D48"/>
    <mergeCell ref="E44:E48"/>
    <mergeCell ref="F44:F48"/>
    <mergeCell ref="I44:I48"/>
    <mergeCell ref="L56:L60"/>
    <mergeCell ref="M56:M60"/>
    <mergeCell ref="O56:O60"/>
    <mergeCell ref="P56:P60"/>
    <mergeCell ref="Q56:Q60"/>
    <mergeCell ref="T56:T60"/>
    <mergeCell ref="A56:A60"/>
    <mergeCell ref="B56:B60"/>
    <mergeCell ref="D56:D60"/>
    <mergeCell ref="E56:E60"/>
    <mergeCell ref="F56:F60"/>
    <mergeCell ref="I56:I60"/>
    <mergeCell ref="L61:U61"/>
    <mergeCell ref="A66:B67"/>
    <mergeCell ref="D66:I66"/>
    <mergeCell ref="G67:H67"/>
    <mergeCell ref="G68:H68"/>
    <mergeCell ref="G69:H69"/>
    <mergeCell ref="A61:A65"/>
    <mergeCell ref="B61:B65"/>
    <mergeCell ref="D61:D65"/>
    <mergeCell ref="E61:E65"/>
    <mergeCell ref="F61:F65"/>
    <mergeCell ref="I61:I65"/>
  </mergeCells>
  <phoneticPr fontId="21"/>
  <printOptions horizontalCentered="1" verticalCentered="1"/>
  <pageMargins left="0.19685039370078741" right="0.19685039370078741" top="0.59055118110236227" bottom="0.19685039370078741" header="0" footer="0"/>
  <pageSetup paperSize="9" scale="55"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228</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167</v>
      </c>
      <c r="C5" s="36" t="s">
        <v>168</v>
      </c>
      <c r="D5" s="37" t="s">
        <v>169</v>
      </c>
      <c r="E5" s="81">
        <v>0.5</v>
      </c>
      <c r="F5" s="39" t="s">
        <v>114</v>
      </c>
      <c r="G5" s="65" t="s">
        <v>43</v>
      </c>
      <c r="H5" s="69" t="s">
        <v>168</v>
      </c>
      <c r="I5" s="37" t="s">
        <v>169</v>
      </c>
      <c r="J5" s="39">
        <f>ROUNDUP(E5*0.75,2)</f>
        <v>0.38</v>
      </c>
      <c r="K5" s="39" t="s">
        <v>114</v>
      </c>
      <c r="L5" s="39" t="s">
        <v>43</v>
      </c>
      <c r="M5" s="73" t="e">
        <f>#REF!</f>
        <v>#REF!</v>
      </c>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229</v>
      </c>
      <c r="C7" s="48" t="s">
        <v>218</v>
      </c>
      <c r="D7" s="49"/>
      <c r="E7" s="50">
        <v>40</v>
      </c>
      <c r="F7" s="51" t="s">
        <v>33</v>
      </c>
      <c r="G7" s="67" t="s">
        <v>71</v>
      </c>
      <c r="H7" s="71" t="s">
        <v>218</v>
      </c>
      <c r="I7" s="49"/>
      <c r="J7" s="51">
        <f t="shared" ref="J7:J12" si="0">ROUNDUP(E7*0.75,2)</f>
        <v>30</v>
      </c>
      <c r="K7" s="51" t="s">
        <v>33</v>
      </c>
      <c r="L7" s="51" t="s">
        <v>71</v>
      </c>
      <c r="M7" s="75" t="e">
        <f>#REF!</f>
        <v>#REF!</v>
      </c>
      <c r="N7" s="63" t="s">
        <v>230</v>
      </c>
      <c r="O7" s="52" t="s">
        <v>30</v>
      </c>
      <c r="P7" s="49"/>
      <c r="Q7" s="53">
        <v>1</v>
      </c>
      <c r="R7" s="84">
        <f t="shared" ref="R7:R12" si="1">ROUNDUP(Q7*0.75,2)</f>
        <v>0.75</v>
      </c>
    </row>
    <row r="8" spans="1:19" ht="24.95" customHeight="1" x14ac:dyDescent="0.15">
      <c r="A8" s="223"/>
      <c r="B8" s="63"/>
      <c r="C8" s="48" t="s">
        <v>50</v>
      </c>
      <c r="D8" s="49"/>
      <c r="E8" s="50">
        <v>20</v>
      </c>
      <c r="F8" s="51" t="s">
        <v>33</v>
      </c>
      <c r="G8" s="67"/>
      <c r="H8" s="71" t="s">
        <v>50</v>
      </c>
      <c r="I8" s="49"/>
      <c r="J8" s="51">
        <f t="shared" si="0"/>
        <v>15</v>
      </c>
      <c r="K8" s="51" t="s">
        <v>33</v>
      </c>
      <c r="L8" s="51"/>
      <c r="M8" s="75" t="e">
        <f>ROUND(#REF!+(#REF!*6/100),2)</f>
        <v>#REF!</v>
      </c>
      <c r="N8" s="63" t="s">
        <v>231</v>
      </c>
      <c r="O8" s="52" t="s">
        <v>27</v>
      </c>
      <c r="P8" s="49"/>
      <c r="Q8" s="53">
        <v>0.1</v>
      </c>
      <c r="R8" s="84">
        <f t="shared" si="1"/>
        <v>0.08</v>
      </c>
    </row>
    <row r="9" spans="1:19" ht="24.95" customHeight="1" x14ac:dyDescent="0.15">
      <c r="A9" s="223"/>
      <c r="B9" s="63"/>
      <c r="C9" s="48" t="s">
        <v>171</v>
      </c>
      <c r="D9" s="49" t="s">
        <v>29</v>
      </c>
      <c r="E9" s="50">
        <v>5</v>
      </c>
      <c r="F9" s="51" t="s">
        <v>33</v>
      </c>
      <c r="G9" s="67" t="s">
        <v>172</v>
      </c>
      <c r="H9" s="71" t="s">
        <v>171</v>
      </c>
      <c r="I9" s="49" t="s">
        <v>29</v>
      </c>
      <c r="J9" s="51">
        <f t="shared" si="0"/>
        <v>3.75</v>
      </c>
      <c r="K9" s="51" t="s">
        <v>33</v>
      </c>
      <c r="L9" s="51" t="s">
        <v>172</v>
      </c>
      <c r="M9" s="75" t="e">
        <f>#REF!</f>
        <v>#REF!</v>
      </c>
      <c r="N9" s="63" t="s">
        <v>232</v>
      </c>
      <c r="O9" s="52" t="s">
        <v>73</v>
      </c>
      <c r="P9" s="49"/>
      <c r="Q9" s="53">
        <v>0.01</v>
      </c>
      <c r="R9" s="84">
        <f t="shared" si="1"/>
        <v>0.01</v>
      </c>
    </row>
    <row r="10" spans="1:19" ht="24.95" customHeight="1" x14ac:dyDescent="0.15">
      <c r="A10" s="223"/>
      <c r="B10" s="63"/>
      <c r="C10" s="48" t="s">
        <v>59</v>
      </c>
      <c r="D10" s="49" t="s">
        <v>60</v>
      </c>
      <c r="E10" s="50">
        <v>5</v>
      </c>
      <c r="F10" s="51" t="s">
        <v>61</v>
      </c>
      <c r="G10" s="67" t="s">
        <v>43</v>
      </c>
      <c r="H10" s="71" t="s">
        <v>59</v>
      </c>
      <c r="I10" s="49" t="s">
        <v>60</v>
      </c>
      <c r="J10" s="51">
        <f t="shared" si="0"/>
        <v>3.75</v>
      </c>
      <c r="K10" s="51" t="s">
        <v>61</v>
      </c>
      <c r="L10" s="51" t="s">
        <v>43</v>
      </c>
      <c r="M10" s="75" t="e">
        <f>#REF!</f>
        <v>#REF!</v>
      </c>
      <c r="N10" s="63" t="s">
        <v>233</v>
      </c>
      <c r="O10" s="52" t="s">
        <v>30</v>
      </c>
      <c r="P10" s="49"/>
      <c r="Q10" s="53">
        <v>1</v>
      </c>
      <c r="R10" s="84">
        <f t="shared" si="1"/>
        <v>0.75</v>
      </c>
    </row>
    <row r="11" spans="1:19" ht="24.95" customHeight="1" x14ac:dyDescent="0.15">
      <c r="A11" s="223"/>
      <c r="B11" s="63"/>
      <c r="C11" s="48" t="s">
        <v>35</v>
      </c>
      <c r="D11" s="49"/>
      <c r="E11" s="50">
        <v>20</v>
      </c>
      <c r="F11" s="51" t="s">
        <v>33</v>
      </c>
      <c r="G11" s="67"/>
      <c r="H11" s="71" t="s">
        <v>35</v>
      </c>
      <c r="I11" s="49"/>
      <c r="J11" s="51">
        <f t="shared" si="0"/>
        <v>15</v>
      </c>
      <c r="K11" s="51" t="s">
        <v>33</v>
      </c>
      <c r="L11" s="51"/>
      <c r="M11" s="75" t="e">
        <f>ROUND(#REF!+(#REF!*3/100),2)</f>
        <v>#REF!</v>
      </c>
      <c r="N11" s="63" t="s">
        <v>234</v>
      </c>
      <c r="O11" s="52" t="s">
        <v>118</v>
      </c>
      <c r="P11" s="49"/>
      <c r="Q11" s="53">
        <v>2.5</v>
      </c>
      <c r="R11" s="84">
        <f t="shared" si="1"/>
        <v>1.8800000000000001</v>
      </c>
    </row>
    <row r="12" spans="1:19" ht="24.95" customHeight="1" x14ac:dyDescent="0.15">
      <c r="A12" s="223"/>
      <c r="B12" s="63"/>
      <c r="C12" s="48" t="s">
        <v>76</v>
      </c>
      <c r="D12" s="49"/>
      <c r="E12" s="50">
        <v>10</v>
      </c>
      <c r="F12" s="51" t="s">
        <v>33</v>
      </c>
      <c r="G12" s="67"/>
      <c r="H12" s="71" t="s">
        <v>76</v>
      </c>
      <c r="I12" s="49"/>
      <c r="J12" s="51">
        <f t="shared" si="0"/>
        <v>7.5</v>
      </c>
      <c r="K12" s="51" t="s">
        <v>33</v>
      </c>
      <c r="L12" s="51"/>
      <c r="M12" s="75" t="e">
        <f>ROUND(#REF!+(#REF!*50/100),2)</f>
        <v>#REF!</v>
      </c>
      <c r="N12" s="63" t="s">
        <v>39</v>
      </c>
      <c r="O12" s="52" t="s">
        <v>119</v>
      </c>
      <c r="P12" s="49"/>
      <c r="Q12" s="53">
        <v>1.5</v>
      </c>
      <c r="R12" s="84">
        <f t="shared" si="1"/>
        <v>1.1300000000000001</v>
      </c>
    </row>
    <row r="13" spans="1:19" ht="24.95" customHeight="1" x14ac:dyDescent="0.15">
      <c r="A13" s="223"/>
      <c r="B13" s="62"/>
      <c r="C13" s="42"/>
      <c r="D13" s="43"/>
      <c r="E13" s="44"/>
      <c r="F13" s="45"/>
      <c r="G13" s="66"/>
      <c r="H13" s="70"/>
      <c r="I13" s="43"/>
      <c r="J13" s="45"/>
      <c r="K13" s="45"/>
      <c r="L13" s="45"/>
      <c r="M13" s="74"/>
      <c r="N13" s="62"/>
      <c r="O13" s="46"/>
      <c r="P13" s="43"/>
      <c r="Q13" s="47"/>
      <c r="R13" s="85"/>
    </row>
    <row r="14" spans="1:19" ht="24.95" customHeight="1" x14ac:dyDescent="0.15">
      <c r="A14" s="223"/>
      <c r="B14" s="63" t="s">
        <v>235</v>
      </c>
      <c r="C14" s="48" t="s">
        <v>122</v>
      </c>
      <c r="D14" s="49"/>
      <c r="E14" s="50">
        <v>30</v>
      </c>
      <c r="F14" s="51" t="s">
        <v>33</v>
      </c>
      <c r="G14" s="67"/>
      <c r="H14" s="71" t="s">
        <v>122</v>
      </c>
      <c r="I14" s="49"/>
      <c r="J14" s="51">
        <f>ROUNDUP(E14*0.75,2)</f>
        <v>22.5</v>
      </c>
      <c r="K14" s="51" t="s">
        <v>33</v>
      </c>
      <c r="L14" s="51"/>
      <c r="M14" s="75" t="e">
        <f>ROUND(#REF!+(#REF!*6/100),2)</f>
        <v>#REF!</v>
      </c>
      <c r="N14" s="63" t="s">
        <v>236</v>
      </c>
      <c r="O14" s="52" t="s">
        <v>46</v>
      </c>
      <c r="P14" s="49"/>
      <c r="Q14" s="53">
        <v>1</v>
      </c>
      <c r="R14" s="84">
        <f>ROUNDUP(Q14*0.75,2)</f>
        <v>0.75</v>
      </c>
    </row>
    <row r="15" spans="1:19" ht="24.95" customHeight="1" x14ac:dyDescent="0.15">
      <c r="A15" s="223"/>
      <c r="B15" s="63"/>
      <c r="C15" s="48" t="s">
        <v>41</v>
      </c>
      <c r="D15" s="49"/>
      <c r="E15" s="50">
        <v>10</v>
      </c>
      <c r="F15" s="51" t="s">
        <v>33</v>
      </c>
      <c r="G15" s="67"/>
      <c r="H15" s="71" t="s">
        <v>41</v>
      </c>
      <c r="I15" s="49"/>
      <c r="J15" s="51">
        <f>ROUNDUP(E15*0.75,2)</f>
        <v>7.5</v>
      </c>
      <c r="K15" s="51" t="s">
        <v>33</v>
      </c>
      <c r="L15" s="51"/>
      <c r="M15" s="75" t="e">
        <f>ROUND(#REF!+(#REF!*3/100),2)</f>
        <v>#REF!</v>
      </c>
      <c r="N15" s="63" t="s">
        <v>307</v>
      </c>
      <c r="O15" s="52" t="s">
        <v>48</v>
      </c>
      <c r="P15" s="49" t="s">
        <v>29</v>
      </c>
      <c r="Q15" s="53">
        <v>1</v>
      </c>
      <c r="R15" s="84">
        <f>ROUNDUP(Q15*0.75,2)</f>
        <v>0.75</v>
      </c>
    </row>
    <row r="16" spans="1:19" ht="24.95" customHeight="1" x14ac:dyDescent="0.15">
      <c r="A16" s="223"/>
      <c r="B16" s="63"/>
      <c r="C16" s="48" t="s">
        <v>145</v>
      </c>
      <c r="D16" s="49"/>
      <c r="E16" s="50">
        <v>2</v>
      </c>
      <c r="F16" s="51" t="s">
        <v>33</v>
      </c>
      <c r="G16" s="67" t="s">
        <v>146</v>
      </c>
      <c r="H16" s="71" t="s">
        <v>145</v>
      </c>
      <c r="I16" s="49"/>
      <c r="J16" s="51">
        <f>ROUNDUP(E16*0.75,2)</f>
        <v>1.5</v>
      </c>
      <c r="K16" s="51" t="s">
        <v>33</v>
      </c>
      <c r="L16" s="51" t="s">
        <v>146</v>
      </c>
      <c r="M16" s="75" t="e">
        <f>#REF!</f>
        <v>#REF!</v>
      </c>
      <c r="N16" s="63" t="s">
        <v>39</v>
      </c>
      <c r="O16" s="52" t="s">
        <v>45</v>
      </c>
      <c r="P16" s="49"/>
      <c r="Q16" s="53">
        <v>2</v>
      </c>
      <c r="R16" s="84">
        <f>ROUNDUP(Q16*0.75,2)</f>
        <v>1.5</v>
      </c>
    </row>
    <row r="17" spans="1:18" ht="24.95" customHeight="1" x14ac:dyDescent="0.15">
      <c r="A17" s="223"/>
      <c r="B17" s="62"/>
      <c r="C17" s="42"/>
      <c r="D17" s="43"/>
      <c r="E17" s="44"/>
      <c r="F17" s="45"/>
      <c r="G17" s="66"/>
      <c r="H17" s="70"/>
      <c r="I17" s="43"/>
      <c r="J17" s="45"/>
      <c r="K17" s="45"/>
      <c r="L17" s="45"/>
      <c r="M17" s="74"/>
      <c r="N17" s="62"/>
      <c r="O17" s="46"/>
      <c r="P17" s="43"/>
      <c r="Q17" s="47"/>
      <c r="R17" s="85"/>
    </row>
    <row r="18" spans="1:18" ht="24.95" customHeight="1" x14ac:dyDescent="0.15">
      <c r="A18" s="223"/>
      <c r="B18" s="63" t="s">
        <v>49</v>
      </c>
      <c r="C18" s="48" t="s">
        <v>99</v>
      </c>
      <c r="D18" s="49"/>
      <c r="E18" s="50">
        <v>20</v>
      </c>
      <c r="F18" s="51" t="s">
        <v>33</v>
      </c>
      <c r="G18" s="67"/>
      <c r="H18" s="71" t="s">
        <v>99</v>
      </c>
      <c r="I18" s="49"/>
      <c r="J18" s="51">
        <f>ROUNDUP(E18*0.75,2)</f>
        <v>15</v>
      </c>
      <c r="K18" s="51" t="s">
        <v>33</v>
      </c>
      <c r="L18" s="51"/>
      <c r="M18" s="75" t="e">
        <f>ROUND(#REF!+(#REF!*15/100),2)</f>
        <v>#REF!</v>
      </c>
      <c r="N18" s="63" t="s">
        <v>39</v>
      </c>
      <c r="O18" s="52" t="s">
        <v>45</v>
      </c>
      <c r="P18" s="49"/>
      <c r="Q18" s="53">
        <v>100</v>
      </c>
      <c r="R18" s="84">
        <f>ROUNDUP(Q18*0.75,2)</f>
        <v>75</v>
      </c>
    </row>
    <row r="19" spans="1:18" ht="24.95" customHeight="1" x14ac:dyDescent="0.15">
      <c r="A19" s="223"/>
      <c r="B19" s="63"/>
      <c r="C19" s="48" t="s">
        <v>123</v>
      </c>
      <c r="D19" s="49"/>
      <c r="E19" s="50">
        <v>3</v>
      </c>
      <c r="F19" s="51" t="s">
        <v>33</v>
      </c>
      <c r="G19" s="67"/>
      <c r="H19" s="71" t="s">
        <v>123</v>
      </c>
      <c r="I19" s="49"/>
      <c r="J19" s="51">
        <f>ROUNDUP(E19*0.75,2)</f>
        <v>2.25</v>
      </c>
      <c r="K19" s="51" t="s">
        <v>33</v>
      </c>
      <c r="L19" s="51"/>
      <c r="M19" s="75" t="e">
        <f>ROUND(#REF!+(#REF!*40/100),2)</f>
        <v>#REF!</v>
      </c>
      <c r="N19" s="63"/>
      <c r="O19" s="52" t="s">
        <v>53</v>
      </c>
      <c r="P19" s="49"/>
      <c r="Q19" s="53">
        <v>3</v>
      </c>
      <c r="R19" s="84">
        <f>ROUNDUP(Q19*0.75,2)</f>
        <v>2.25</v>
      </c>
    </row>
    <row r="20" spans="1:18" ht="24.95" customHeight="1" thickBot="1" x14ac:dyDescent="0.2">
      <c r="A20" s="224"/>
      <c r="B20" s="64"/>
      <c r="C20" s="55"/>
      <c r="D20" s="56"/>
      <c r="E20" s="57"/>
      <c r="F20" s="58"/>
      <c r="G20" s="68"/>
      <c r="H20" s="72"/>
      <c r="I20" s="56"/>
      <c r="J20" s="58"/>
      <c r="K20" s="58"/>
      <c r="L20" s="58"/>
      <c r="M20" s="76"/>
      <c r="N20" s="64"/>
      <c r="O20" s="59"/>
      <c r="P20" s="56"/>
      <c r="Q20" s="60"/>
      <c r="R20" s="86"/>
    </row>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247</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15</v>
      </c>
      <c r="C5" s="36"/>
      <c r="D5" s="37"/>
      <c r="E5" s="38"/>
      <c r="F5" s="39"/>
      <c r="G5" s="65"/>
      <c r="H5" s="69"/>
      <c r="I5" s="37"/>
      <c r="J5" s="39"/>
      <c r="K5" s="39"/>
      <c r="L5" s="39"/>
      <c r="M5" s="73"/>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16</v>
      </c>
      <c r="C7" s="48" t="s">
        <v>22</v>
      </c>
      <c r="D7" s="49"/>
      <c r="E7" s="50">
        <v>1</v>
      </c>
      <c r="F7" s="51" t="s">
        <v>24</v>
      </c>
      <c r="G7" s="67" t="s">
        <v>23</v>
      </c>
      <c r="H7" s="71" t="s">
        <v>22</v>
      </c>
      <c r="I7" s="49"/>
      <c r="J7" s="51">
        <f>ROUNDUP(E7*0.75,2)</f>
        <v>0.75</v>
      </c>
      <c r="K7" s="51" t="s">
        <v>24</v>
      </c>
      <c r="L7" s="51" t="s">
        <v>23</v>
      </c>
      <c r="M7" s="75" t="e">
        <f>#REF!</f>
        <v>#REF!</v>
      </c>
      <c r="N7" s="63" t="s">
        <v>17</v>
      </c>
      <c r="O7" s="52" t="s">
        <v>25</v>
      </c>
      <c r="P7" s="49" t="s">
        <v>26</v>
      </c>
      <c r="Q7" s="53">
        <v>10</v>
      </c>
      <c r="R7" s="84">
        <f>ROUNDUP(Q7*0.75,2)</f>
        <v>7.5</v>
      </c>
    </row>
    <row r="8" spans="1:19" ht="24.95" customHeight="1" x14ac:dyDescent="0.15">
      <c r="A8" s="223"/>
      <c r="B8" s="63"/>
      <c r="C8" s="48" t="s">
        <v>31</v>
      </c>
      <c r="D8" s="49"/>
      <c r="E8" s="50">
        <v>10</v>
      </c>
      <c r="F8" s="51" t="s">
        <v>33</v>
      </c>
      <c r="G8" s="67" t="s">
        <v>32</v>
      </c>
      <c r="H8" s="71" t="s">
        <v>31</v>
      </c>
      <c r="I8" s="49"/>
      <c r="J8" s="51">
        <f>ROUNDUP(E8*0.75,2)</f>
        <v>7.5</v>
      </c>
      <c r="K8" s="51" t="s">
        <v>33</v>
      </c>
      <c r="L8" s="51" t="s">
        <v>32</v>
      </c>
      <c r="M8" s="75" t="e">
        <f>#REF!</f>
        <v>#REF!</v>
      </c>
      <c r="N8" s="63" t="s">
        <v>18</v>
      </c>
      <c r="O8" s="52" t="s">
        <v>27</v>
      </c>
      <c r="P8" s="49"/>
      <c r="Q8" s="53">
        <v>0.1</v>
      </c>
      <c r="R8" s="84">
        <f>ROUNDUP(Q8*0.75,2)</f>
        <v>0.08</v>
      </c>
    </row>
    <row r="9" spans="1:19" ht="24.95" customHeight="1" x14ac:dyDescent="0.15">
      <c r="A9" s="223"/>
      <c r="B9" s="63"/>
      <c r="C9" s="48" t="s">
        <v>249</v>
      </c>
      <c r="D9" s="49"/>
      <c r="E9" s="50">
        <v>10</v>
      </c>
      <c r="F9" s="51" t="s">
        <v>33</v>
      </c>
      <c r="G9" s="67" t="s">
        <v>81</v>
      </c>
      <c r="H9" s="71" t="s">
        <v>249</v>
      </c>
      <c r="I9" s="49"/>
      <c r="J9" s="51">
        <f>ROUNDUP(E9*0.75,2)</f>
        <v>7.5</v>
      </c>
      <c r="K9" s="51" t="s">
        <v>33</v>
      </c>
      <c r="L9" s="51" t="s">
        <v>81</v>
      </c>
      <c r="M9" s="75" t="e">
        <f>#REF!</f>
        <v>#REF!</v>
      </c>
      <c r="N9" s="63" t="s">
        <v>19</v>
      </c>
      <c r="O9" s="52" t="s">
        <v>28</v>
      </c>
      <c r="P9" s="49" t="s">
        <v>29</v>
      </c>
      <c r="Q9" s="53">
        <v>3</v>
      </c>
      <c r="R9" s="84">
        <f>ROUNDUP(Q9*0.75,2)</f>
        <v>2.25</v>
      </c>
    </row>
    <row r="10" spans="1:19" ht="24.95" customHeight="1" x14ac:dyDescent="0.15">
      <c r="A10" s="223"/>
      <c r="B10" s="63"/>
      <c r="C10" s="48" t="s">
        <v>250</v>
      </c>
      <c r="D10" s="49"/>
      <c r="E10" s="50">
        <v>10</v>
      </c>
      <c r="F10" s="51" t="s">
        <v>33</v>
      </c>
      <c r="G10" s="67" t="s">
        <v>81</v>
      </c>
      <c r="H10" s="71" t="s">
        <v>250</v>
      </c>
      <c r="I10" s="49"/>
      <c r="J10" s="51">
        <f>ROUNDUP(E10*0.75,2)</f>
        <v>7.5</v>
      </c>
      <c r="K10" s="51" t="s">
        <v>33</v>
      </c>
      <c r="L10" s="51" t="s">
        <v>81</v>
      </c>
      <c r="M10" s="75" t="e">
        <f>#REF!</f>
        <v>#REF!</v>
      </c>
      <c r="N10" s="63" t="s">
        <v>248</v>
      </c>
      <c r="O10" s="52" t="s">
        <v>30</v>
      </c>
      <c r="P10" s="49"/>
      <c r="Q10" s="53">
        <v>2</v>
      </c>
      <c r="R10" s="84">
        <f>ROUNDUP(Q10*0.75,2)</f>
        <v>1.5</v>
      </c>
    </row>
    <row r="11" spans="1:19" ht="24.95" customHeight="1" x14ac:dyDescent="0.15">
      <c r="A11" s="223"/>
      <c r="B11" s="63"/>
      <c r="C11" s="48"/>
      <c r="D11" s="49"/>
      <c r="E11" s="50"/>
      <c r="F11" s="51"/>
      <c r="G11" s="67"/>
      <c r="H11" s="71"/>
      <c r="I11" s="49"/>
      <c r="J11" s="51"/>
      <c r="K11" s="51"/>
      <c r="L11" s="51"/>
      <c r="M11" s="75"/>
      <c r="N11" s="63" t="s">
        <v>298</v>
      </c>
      <c r="O11" s="52"/>
      <c r="P11" s="49"/>
      <c r="Q11" s="53"/>
      <c r="R11" s="84"/>
    </row>
    <row r="12" spans="1:19" ht="24.95" customHeight="1" x14ac:dyDescent="0.15">
      <c r="A12" s="223"/>
      <c r="B12" s="63"/>
      <c r="C12" s="48"/>
      <c r="D12" s="49"/>
      <c r="E12" s="50"/>
      <c r="F12" s="51"/>
      <c r="G12" s="67"/>
      <c r="H12" s="71"/>
      <c r="I12" s="49"/>
      <c r="J12" s="51"/>
      <c r="K12" s="51"/>
      <c r="L12" s="51"/>
      <c r="M12" s="75"/>
      <c r="N12" s="63" t="s">
        <v>21</v>
      </c>
      <c r="O12" s="52"/>
      <c r="P12" s="49"/>
      <c r="Q12" s="53"/>
      <c r="R12" s="84"/>
    </row>
    <row r="13" spans="1:19" ht="24.95" customHeight="1" x14ac:dyDescent="0.15">
      <c r="A13" s="223"/>
      <c r="B13" s="63"/>
      <c r="C13" s="48"/>
      <c r="D13" s="49"/>
      <c r="E13" s="50"/>
      <c r="F13" s="51"/>
      <c r="G13" s="67"/>
      <c r="H13" s="71"/>
      <c r="I13" s="49"/>
      <c r="J13" s="51"/>
      <c r="K13" s="51"/>
      <c r="L13" s="51"/>
      <c r="M13" s="75"/>
      <c r="N13" s="63"/>
      <c r="O13" s="52"/>
      <c r="P13" s="49"/>
      <c r="Q13" s="53"/>
      <c r="R13" s="84"/>
    </row>
    <row r="14" spans="1:19" ht="24.95" customHeight="1" x14ac:dyDescent="0.15">
      <c r="A14" s="223"/>
      <c r="B14" s="62"/>
      <c r="C14" s="42"/>
      <c r="D14" s="43"/>
      <c r="E14" s="44"/>
      <c r="F14" s="45"/>
      <c r="G14" s="66"/>
      <c r="H14" s="70"/>
      <c r="I14" s="43"/>
      <c r="J14" s="45"/>
      <c r="K14" s="45"/>
      <c r="L14" s="45"/>
      <c r="M14" s="74"/>
      <c r="N14" s="62"/>
      <c r="O14" s="46"/>
      <c r="P14" s="43"/>
      <c r="Q14" s="47"/>
      <c r="R14" s="85"/>
    </row>
    <row r="15" spans="1:19" ht="24.95" customHeight="1" x14ac:dyDescent="0.15">
      <c r="A15" s="223"/>
      <c r="B15" s="63" t="s">
        <v>36</v>
      </c>
      <c r="C15" s="48" t="s">
        <v>40</v>
      </c>
      <c r="D15" s="49"/>
      <c r="E15" s="50">
        <v>5</v>
      </c>
      <c r="F15" s="51" t="s">
        <v>33</v>
      </c>
      <c r="G15" s="67"/>
      <c r="H15" s="71" t="s">
        <v>40</v>
      </c>
      <c r="I15" s="49"/>
      <c r="J15" s="51">
        <f>ROUNDUP(E15*0.75,2)</f>
        <v>3.75</v>
      </c>
      <c r="K15" s="51" t="s">
        <v>33</v>
      </c>
      <c r="L15" s="51"/>
      <c r="M15" s="75" t="e">
        <f>#REF!</f>
        <v>#REF!</v>
      </c>
      <c r="N15" s="63" t="s">
        <v>37</v>
      </c>
      <c r="O15" s="52" t="s">
        <v>44</v>
      </c>
      <c r="P15" s="49"/>
      <c r="Q15" s="53">
        <v>1</v>
      </c>
      <c r="R15" s="84">
        <f>ROUNDUP(Q15*0.75,2)</f>
        <v>0.75</v>
      </c>
    </row>
    <row r="16" spans="1:19" ht="24.95" customHeight="1" x14ac:dyDescent="0.15">
      <c r="A16" s="223"/>
      <c r="B16" s="63"/>
      <c r="C16" s="48" t="s">
        <v>251</v>
      </c>
      <c r="D16" s="49"/>
      <c r="E16" s="50">
        <v>10</v>
      </c>
      <c r="F16" s="51" t="s">
        <v>33</v>
      </c>
      <c r="G16" s="67"/>
      <c r="H16" s="71" t="s">
        <v>251</v>
      </c>
      <c r="I16" s="49"/>
      <c r="J16" s="51">
        <f>ROUNDUP(E16*0.75,2)</f>
        <v>7.5</v>
      </c>
      <c r="K16" s="51" t="s">
        <v>33</v>
      </c>
      <c r="L16" s="51"/>
      <c r="M16" s="75" t="e">
        <f>#REF!</f>
        <v>#REF!</v>
      </c>
      <c r="N16" s="63" t="s">
        <v>38</v>
      </c>
      <c r="O16" s="52" t="s">
        <v>45</v>
      </c>
      <c r="P16" s="49"/>
      <c r="Q16" s="53">
        <v>20</v>
      </c>
      <c r="R16" s="84">
        <f>ROUNDUP(Q16*0.75,2)</f>
        <v>15</v>
      </c>
    </row>
    <row r="17" spans="1:18" ht="24.95" customHeight="1" x14ac:dyDescent="0.15">
      <c r="A17" s="223"/>
      <c r="B17" s="63"/>
      <c r="C17" s="48" t="s">
        <v>42</v>
      </c>
      <c r="D17" s="49"/>
      <c r="E17" s="50">
        <v>5</v>
      </c>
      <c r="F17" s="51" t="s">
        <v>33</v>
      </c>
      <c r="G17" s="67" t="s">
        <v>43</v>
      </c>
      <c r="H17" s="71" t="s">
        <v>42</v>
      </c>
      <c r="I17" s="49"/>
      <c r="J17" s="51">
        <f>ROUNDUP(E17*0.75,2)</f>
        <v>3.75</v>
      </c>
      <c r="K17" s="51" t="s">
        <v>33</v>
      </c>
      <c r="L17" s="51" t="s">
        <v>43</v>
      </c>
      <c r="M17" s="75" t="e">
        <f>#REF!</f>
        <v>#REF!</v>
      </c>
      <c r="N17" s="63" t="s">
        <v>39</v>
      </c>
      <c r="O17" s="52" t="s">
        <v>46</v>
      </c>
      <c r="P17" s="49"/>
      <c r="Q17" s="53">
        <v>1</v>
      </c>
      <c r="R17" s="84">
        <f>ROUNDUP(Q17*0.75,2)</f>
        <v>0.75</v>
      </c>
    </row>
    <row r="18" spans="1:18" ht="24.95" customHeight="1" x14ac:dyDescent="0.15">
      <c r="A18" s="223"/>
      <c r="B18" s="63"/>
      <c r="C18" s="48"/>
      <c r="D18" s="49"/>
      <c r="E18" s="50"/>
      <c r="F18" s="51"/>
      <c r="G18" s="67"/>
      <c r="H18" s="71"/>
      <c r="I18" s="49"/>
      <c r="J18" s="51"/>
      <c r="K18" s="51"/>
      <c r="L18" s="51"/>
      <c r="M18" s="75"/>
      <c r="N18" s="63"/>
      <c r="O18" s="52" t="s">
        <v>47</v>
      </c>
      <c r="P18" s="49"/>
      <c r="Q18" s="53">
        <v>1</v>
      </c>
      <c r="R18" s="84">
        <f>ROUNDUP(Q18*0.75,2)</f>
        <v>0.75</v>
      </c>
    </row>
    <row r="19" spans="1:18" ht="24.95" customHeight="1" x14ac:dyDescent="0.15">
      <c r="A19" s="223"/>
      <c r="B19" s="63"/>
      <c r="C19" s="48"/>
      <c r="D19" s="49"/>
      <c r="E19" s="50"/>
      <c r="F19" s="51"/>
      <c r="G19" s="67"/>
      <c r="H19" s="71"/>
      <c r="I19" s="49"/>
      <c r="J19" s="51"/>
      <c r="K19" s="51"/>
      <c r="L19" s="51"/>
      <c r="M19" s="75"/>
      <c r="N19" s="63"/>
      <c r="O19" s="52" t="s">
        <v>48</v>
      </c>
      <c r="P19" s="49" t="s">
        <v>29</v>
      </c>
      <c r="Q19" s="53">
        <v>1.5</v>
      </c>
      <c r="R19" s="84">
        <f>ROUNDUP(Q19*0.75,2)</f>
        <v>1.1300000000000001</v>
      </c>
    </row>
    <row r="20" spans="1:18" ht="24.95" customHeight="1" x14ac:dyDescent="0.15">
      <c r="A20" s="223"/>
      <c r="B20" s="62"/>
      <c r="C20" s="42"/>
      <c r="D20" s="43"/>
      <c r="E20" s="44"/>
      <c r="F20" s="45"/>
      <c r="G20" s="66"/>
      <c r="H20" s="70"/>
      <c r="I20" s="43"/>
      <c r="J20" s="45"/>
      <c r="K20" s="45"/>
      <c r="L20" s="45"/>
      <c r="M20" s="74"/>
      <c r="N20" s="62"/>
      <c r="O20" s="46"/>
      <c r="P20" s="43"/>
      <c r="Q20" s="47"/>
      <c r="R20" s="85"/>
    </row>
    <row r="21" spans="1:18" ht="24.95" customHeight="1" x14ac:dyDescent="0.15">
      <c r="A21" s="223"/>
      <c r="B21" s="63" t="s">
        <v>49</v>
      </c>
      <c r="C21" s="48" t="s">
        <v>50</v>
      </c>
      <c r="D21" s="49"/>
      <c r="E21" s="50">
        <v>20</v>
      </c>
      <c r="F21" s="51" t="s">
        <v>33</v>
      </c>
      <c r="G21" s="67"/>
      <c r="H21" s="71" t="s">
        <v>50</v>
      </c>
      <c r="I21" s="49"/>
      <c r="J21" s="51">
        <f>ROUNDUP(E21*0.75,2)</f>
        <v>15</v>
      </c>
      <c r="K21" s="51" t="s">
        <v>33</v>
      </c>
      <c r="L21" s="51"/>
      <c r="M21" s="75" t="e">
        <f>ROUND(#REF!+(#REF!*6/100),2)</f>
        <v>#REF!</v>
      </c>
      <c r="N21" s="63" t="s">
        <v>39</v>
      </c>
      <c r="O21" s="52" t="s">
        <v>45</v>
      </c>
      <c r="P21" s="49"/>
      <c r="Q21" s="53">
        <v>100</v>
      </c>
      <c r="R21" s="84">
        <f>ROUNDUP(Q21*0.75,2)</f>
        <v>75</v>
      </c>
    </row>
    <row r="22" spans="1:18" ht="24.95" customHeight="1" x14ac:dyDescent="0.15">
      <c r="A22" s="223"/>
      <c r="B22" s="63"/>
      <c r="C22" s="48" t="s">
        <v>252</v>
      </c>
      <c r="D22" s="49"/>
      <c r="E22" s="50">
        <v>5</v>
      </c>
      <c r="F22" s="51" t="s">
        <v>33</v>
      </c>
      <c r="G22" s="67" t="s">
        <v>81</v>
      </c>
      <c r="H22" s="71" t="s">
        <v>252</v>
      </c>
      <c r="I22" s="49"/>
      <c r="J22" s="51">
        <f>ROUNDUP(E22*0.75,2)</f>
        <v>3.75</v>
      </c>
      <c r="K22" s="51" t="s">
        <v>33</v>
      </c>
      <c r="L22" s="51" t="s">
        <v>81</v>
      </c>
      <c r="M22" s="75" t="e">
        <f>#REF!</f>
        <v>#REF!</v>
      </c>
      <c r="N22" s="63"/>
      <c r="O22" s="52" t="s">
        <v>53</v>
      </c>
      <c r="P22" s="49"/>
      <c r="Q22" s="53">
        <v>3</v>
      </c>
      <c r="R22" s="84">
        <f>ROUNDUP(Q22*0.75,2)</f>
        <v>2.25</v>
      </c>
    </row>
    <row r="23" spans="1:18" ht="24.95" customHeight="1" x14ac:dyDescent="0.15">
      <c r="A23" s="223"/>
      <c r="B23" s="62"/>
      <c r="C23" s="42"/>
      <c r="D23" s="43"/>
      <c r="E23" s="44"/>
      <c r="F23" s="45"/>
      <c r="G23" s="66"/>
      <c r="H23" s="70"/>
      <c r="I23" s="43"/>
      <c r="J23" s="45"/>
      <c r="K23" s="45"/>
      <c r="L23" s="45"/>
      <c r="M23" s="74"/>
      <c r="N23" s="62"/>
      <c r="O23" s="46"/>
      <c r="P23" s="43"/>
      <c r="Q23" s="47"/>
      <c r="R23" s="85"/>
    </row>
    <row r="24" spans="1:18" ht="24.95" customHeight="1" x14ac:dyDescent="0.15">
      <c r="A24" s="223"/>
      <c r="B24" s="63" t="s">
        <v>182</v>
      </c>
      <c r="C24" s="48" t="s">
        <v>310</v>
      </c>
      <c r="D24" s="49"/>
      <c r="E24" s="50">
        <v>20</v>
      </c>
      <c r="F24" s="51" t="s">
        <v>33</v>
      </c>
      <c r="G24" s="67" t="s">
        <v>183</v>
      </c>
      <c r="H24" s="71" t="s">
        <v>304</v>
      </c>
      <c r="I24" s="49"/>
      <c r="J24" s="51">
        <f>ROUNDUP(E24*0.75,2)</f>
        <v>15</v>
      </c>
      <c r="K24" s="51" t="s">
        <v>33</v>
      </c>
      <c r="L24" s="51" t="s">
        <v>183</v>
      </c>
      <c r="M24" s="75" t="e">
        <f>#REF!</f>
        <v>#REF!</v>
      </c>
      <c r="N24" s="63"/>
      <c r="O24" s="52"/>
      <c r="P24" s="49"/>
      <c r="Q24" s="53"/>
      <c r="R24" s="84"/>
    </row>
    <row r="25" spans="1:18" ht="24.95" customHeight="1" thickBot="1" x14ac:dyDescent="0.2">
      <c r="A25" s="224"/>
      <c r="B25" s="64"/>
      <c r="C25" s="55"/>
      <c r="D25" s="56"/>
      <c r="E25" s="57"/>
      <c r="F25" s="58"/>
      <c r="G25" s="68"/>
      <c r="H25" s="72"/>
      <c r="I25" s="56"/>
      <c r="J25" s="58"/>
      <c r="K25" s="58"/>
      <c r="L25" s="58"/>
      <c r="M25" s="76"/>
      <c r="N25" s="64"/>
      <c r="O25" s="59"/>
      <c r="P25" s="56"/>
      <c r="Q25" s="60"/>
      <c r="R25" s="86"/>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253</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87</v>
      </c>
      <c r="C5" s="36" t="s">
        <v>93</v>
      </c>
      <c r="D5" s="37" t="s">
        <v>96</v>
      </c>
      <c r="E5" s="38">
        <v>40</v>
      </c>
      <c r="F5" s="39" t="s">
        <v>33</v>
      </c>
      <c r="G5" s="65" t="s">
        <v>94</v>
      </c>
      <c r="H5" s="69" t="s">
        <v>93</v>
      </c>
      <c r="I5" s="37" t="s">
        <v>96</v>
      </c>
      <c r="J5" s="39">
        <f t="shared" ref="J5:J10" si="0">ROUNDUP(E5*0.75,2)</f>
        <v>30</v>
      </c>
      <c r="K5" s="39" t="s">
        <v>33</v>
      </c>
      <c r="L5" s="39" t="s">
        <v>94</v>
      </c>
      <c r="M5" s="73" t="e">
        <f>#REF!</f>
        <v>#REF!</v>
      </c>
      <c r="N5" s="61" t="s">
        <v>88</v>
      </c>
      <c r="O5" s="40" t="s">
        <v>45</v>
      </c>
      <c r="P5" s="37"/>
      <c r="Q5" s="41">
        <v>180</v>
      </c>
      <c r="R5" s="83">
        <f>ROUNDUP(Q5*0.75,2)</f>
        <v>135</v>
      </c>
    </row>
    <row r="6" spans="1:19" ht="24.95" customHeight="1" x14ac:dyDescent="0.15">
      <c r="A6" s="223"/>
      <c r="B6" s="63"/>
      <c r="C6" s="48" t="s">
        <v>70</v>
      </c>
      <c r="D6" s="49"/>
      <c r="E6" s="50">
        <v>30</v>
      </c>
      <c r="F6" s="51" t="s">
        <v>33</v>
      </c>
      <c r="G6" s="67" t="s">
        <v>71</v>
      </c>
      <c r="H6" s="71" t="s">
        <v>70</v>
      </c>
      <c r="I6" s="49"/>
      <c r="J6" s="51">
        <f t="shared" si="0"/>
        <v>22.5</v>
      </c>
      <c r="K6" s="51" t="s">
        <v>33</v>
      </c>
      <c r="L6" s="51" t="s">
        <v>71</v>
      </c>
      <c r="M6" s="75" t="e">
        <f>#REF!</f>
        <v>#REF!</v>
      </c>
      <c r="N6" s="63" t="s">
        <v>89</v>
      </c>
      <c r="O6" s="52" t="s">
        <v>53</v>
      </c>
      <c r="P6" s="49"/>
      <c r="Q6" s="53">
        <v>5</v>
      </c>
      <c r="R6" s="84">
        <f>ROUNDUP(Q6*0.75,2)</f>
        <v>3.75</v>
      </c>
    </row>
    <row r="7" spans="1:19" ht="24.95" customHeight="1" x14ac:dyDescent="0.15">
      <c r="A7" s="223"/>
      <c r="B7" s="63"/>
      <c r="C7" s="48" t="s">
        <v>42</v>
      </c>
      <c r="D7" s="49"/>
      <c r="E7" s="50">
        <v>10</v>
      </c>
      <c r="F7" s="51" t="s">
        <v>33</v>
      </c>
      <c r="G7" s="67" t="s">
        <v>43</v>
      </c>
      <c r="H7" s="71" t="s">
        <v>42</v>
      </c>
      <c r="I7" s="49"/>
      <c r="J7" s="51">
        <f t="shared" si="0"/>
        <v>7.5</v>
      </c>
      <c r="K7" s="51" t="s">
        <v>33</v>
      </c>
      <c r="L7" s="51" t="s">
        <v>43</v>
      </c>
      <c r="M7" s="75" t="e">
        <f>#REF!</f>
        <v>#REF!</v>
      </c>
      <c r="N7" s="63" t="s">
        <v>90</v>
      </c>
      <c r="O7" s="52"/>
      <c r="P7" s="49"/>
      <c r="Q7" s="53"/>
      <c r="R7" s="84"/>
    </row>
    <row r="8" spans="1:19" ht="24.95" customHeight="1" x14ac:dyDescent="0.15">
      <c r="A8" s="223"/>
      <c r="B8" s="63"/>
      <c r="C8" s="48" t="s">
        <v>97</v>
      </c>
      <c r="D8" s="49"/>
      <c r="E8" s="50">
        <v>10</v>
      </c>
      <c r="F8" s="51" t="s">
        <v>33</v>
      </c>
      <c r="G8" s="67"/>
      <c r="H8" s="71" t="s">
        <v>97</v>
      </c>
      <c r="I8" s="49"/>
      <c r="J8" s="51">
        <f t="shared" si="0"/>
        <v>7.5</v>
      </c>
      <c r="K8" s="51" t="s">
        <v>33</v>
      </c>
      <c r="L8" s="51"/>
      <c r="M8" s="75" t="e">
        <f>ROUND(#REF!+(#REF!*10/100),2)</f>
        <v>#REF!</v>
      </c>
      <c r="N8" s="63" t="s">
        <v>91</v>
      </c>
      <c r="O8" s="52"/>
      <c r="P8" s="49"/>
      <c r="Q8" s="53"/>
      <c r="R8" s="84"/>
    </row>
    <row r="9" spans="1:19" ht="24.95" customHeight="1" x14ac:dyDescent="0.15">
      <c r="A9" s="223"/>
      <c r="B9" s="63"/>
      <c r="C9" s="48" t="s">
        <v>98</v>
      </c>
      <c r="D9" s="49"/>
      <c r="E9" s="50">
        <v>30</v>
      </c>
      <c r="F9" s="51" t="s">
        <v>33</v>
      </c>
      <c r="G9" s="67"/>
      <c r="H9" s="71" t="s">
        <v>98</v>
      </c>
      <c r="I9" s="49"/>
      <c r="J9" s="51">
        <f t="shared" si="0"/>
        <v>22.5</v>
      </c>
      <c r="K9" s="51" t="s">
        <v>33</v>
      </c>
      <c r="L9" s="51"/>
      <c r="M9" s="75" t="e">
        <f>ROUND(#REF!+(#REF!*10/100),2)</f>
        <v>#REF!</v>
      </c>
      <c r="N9" s="63" t="s">
        <v>92</v>
      </c>
      <c r="O9" s="52"/>
      <c r="P9" s="49"/>
      <c r="Q9" s="53"/>
      <c r="R9" s="84"/>
    </row>
    <row r="10" spans="1:19" ht="24.95" customHeight="1" x14ac:dyDescent="0.15">
      <c r="A10" s="223"/>
      <c r="B10" s="63"/>
      <c r="C10" s="48" t="s">
        <v>99</v>
      </c>
      <c r="D10" s="49"/>
      <c r="E10" s="50">
        <v>10</v>
      </c>
      <c r="F10" s="51" t="s">
        <v>33</v>
      </c>
      <c r="G10" s="67"/>
      <c r="H10" s="71" t="s">
        <v>99</v>
      </c>
      <c r="I10" s="49"/>
      <c r="J10" s="51">
        <f t="shared" si="0"/>
        <v>7.5</v>
      </c>
      <c r="K10" s="51" t="s">
        <v>33</v>
      </c>
      <c r="L10" s="51"/>
      <c r="M10" s="75" t="e">
        <f>ROUND(#REF!+(#REF!*15/100),2)</f>
        <v>#REF!</v>
      </c>
      <c r="N10" s="63" t="s">
        <v>39</v>
      </c>
      <c r="O10" s="52"/>
      <c r="P10" s="49"/>
      <c r="Q10" s="53"/>
      <c r="R10" s="84"/>
    </row>
    <row r="11" spans="1:19" ht="24.95" customHeight="1" x14ac:dyDescent="0.15">
      <c r="A11" s="223"/>
      <c r="B11" s="62"/>
      <c r="C11" s="42"/>
      <c r="D11" s="43"/>
      <c r="E11" s="44"/>
      <c r="F11" s="45"/>
      <c r="G11" s="66"/>
      <c r="H11" s="70"/>
      <c r="I11" s="43"/>
      <c r="J11" s="45"/>
      <c r="K11" s="45"/>
      <c r="L11" s="45"/>
      <c r="M11" s="74"/>
      <c r="N11" s="62"/>
      <c r="O11" s="46"/>
      <c r="P11" s="43"/>
      <c r="Q11" s="47"/>
      <c r="R11" s="85"/>
    </row>
    <row r="12" spans="1:19" ht="24.95" customHeight="1" x14ac:dyDescent="0.15">
      <c r="A12" s="223"/>
      <c r="B12" s="63" t="s">
        <v>100</v>
      </c>
      <c r="C12" s="48" t="s">
        <v>105</v>
      </c>
      <c r="D12" s="49"/>
      <c r="E12" s="50">
        <v>5</v>
      </c>
      <c r="F12" s="51" t="s">
        <v>33</v>
      </c>
      <c r="G12" s="67" t="s">
        <v>71</v>
      </c>
      <c r="H12" s="71" t="s">
        <v>105</v>
      </c>
      <c r="I12" s="49"/>
      <c r="J12" s="51">
        <f>ROUNDUP(E12*0.75,2)</f>
        <v>3.75</v>
      </c>
      <c r="K12" s="51" t="s">
        <v>33</v>
      </c>
      <c r="L12" s="51" t="s">
        <v>71</v>
      </c>
      <c r="M12" s="75" t="e">
        <f>#REF!</f>
        <v>#REF!</v>
      </c>
      <c r="N12" s="63" t="s">
        <v>101</v>
      </c>
      <c r="O12" s="52" t="s">
        <v>30</v>
      </c>
      <c r="P12" s="49"/>
      <c r="Q12" s="53">
        <v>2</v>
      </c>
      <c r="R12" s="84">
        <f t="shared" ref="R12:R17" si="1">ROUNDUP(Q12*0.75,2)</f>
        <v>1.5</v>
      </c>
    </row>
    <row r="13" spans="1:19" ht="24.95" customHeight="1" x14ac:dyDescent="0.15">
      <c r="A13" s="223"/>
      <c r="B13" s="63"/>
      <c r="C13" s="48" t="s">
        <v>106</v>
      </c>
      <c r="D13" s="49"/>
      <c r="E13" s="50">
        <v>1</v>
      </c>
      <c r="F13" s="51" t="s">
        <v>33</v>
      </c>
      <c r="G13" s="67" t="s">
        <v>107</v>
      </c>
      <c r="H13" s="71" t="s">
        <v>106</v>
      </c>
      <c r="I13" s="49"/>
      <c r="J13" s="51">
        <f>ROUNDUP(E13*0.75,2)</f>
        <v>0.75</v>
      </c>
      <c r="K13" s="51" t="s">
        <v>33</v>
      </c>
      <c r="L13" s="51" t="s">
        <v>107</v>
      </c>
      <c r="M13" s="75" t="e">
        <f>#REF!</f>
        <v>#REF!</v>
      </c>
      <c r="N13" s="63" t="s">
        <v>102</v>
      </c>
      <c r="O13" s="52" t="s">
        <v>45</v>
      </c>
      <c r="P13" s="49"/>
      <c r="Q13" s="53">
        <v>50</v>
      </c>
      <c r="R13" s="84">
        <f t="shared" si="1"/>
        <v>37.5</v>
      </c>
    </row>
    <row r="14" spans="1:19" ht="24.95" customHeight="1" x14ac:dyDescent="0.15">
      <c r="A14" s="223"/>
      <c r="B14" s="63"/>
      <c r="C14" s="48" t="s">
        <v>41</v>
      </c>
      <c r="D14" s="49"/>
      <c r="E14" s="50">
        <v>10</v>
      </c>
      <c r="F14" s="51" t="s">
        <v>33</v>
      </c>
      <c r="G14" s="67"/>
      <c r="H14" s="71" t="s">
        <v>41</v>
      </c>
      <c r="I14" s="49"/>
      <c r="J14" s="51">
        <f>ROUNDUP(E14*0.75,2)</f>
        <v>7.5</v>
      </c>
      <c r="K14" s="51" t="s">
        <v>33</v>
      </c>
      <c r="L14" s="51"/>
      <c r="M14" s="75" t="e">
        <f>ROUND(#REF!+(#REF!*3/100),2)</f>
        <v>#REF!</v>
      </c>
      <c r="N14" s="63" t="s">
        <v>103</v>
      </c>
      <c r="O14" s="52" t="s">
        <v>47</v>
      </c>
      <c r="P14" s="49"/>
      <c r="Q14" s="53">
        <v>1.5</v>
      </c>
      <c r="R14" s="84">
        <f t="shared" si="1"/>
        <v>1.1300000000000001</v>
      </c>
    </row>
    <row r="15" spans="1:19" ht="24.95" customHeight="1" x14ac:dyDescent="0.15">
      <c r="A15" s="223"/>
      <c r="B15" s="63"/>
      <c r="C15" s="48" t="s">
        <v>108</v>
      </c>
      <c r="D15" s="49"/>
      <c r="E15" s="50">
        <v>5</v>
      </c>
      <c r="F15" s="51" t="s">
        <v>33</v>
      </c>
      <c r="G15" s="67" t="s">
        <v>81</v>
      </c>
      <c r="H15" s="71" t="s">
        <v>108</v>
      </c>
      <c r="I15" s="49"/>
      <c r="J15" s="51">
        <f>ROUNDUP(E15*0.75,2)</f>
        <v>3.75</v>
      </c>
      <c r="K15" s="51" t="s">
        <v>33</v>
      </c>
      <c r="L15" s="51" t="s">
        <v>81</v>
      </c>
      <c r="M15" s="75" t="e">
        <f>#REF!</f>
        <v>#REF!</v>
      </c>
      <c r="N15" s="63" t="s">
        <v>104</v>
      </c>
      <c r="O15" s="52" t="s">
        <v>109</v>
      </c>
      <c r="P15" s="49"/>
      <c r="Q15" s="53">
        <v>1</v>
      </c>
      <c r="R15" s="84">
        <f t="shared" si="1"/>
        <v>0.75</v>
      </c>
    </row>
    <row r="16" spans="1:19" ht="24.95" customHeight="1" x14ac:dyDescent="0.15">
      <c r="A16" s="223"/>
      <c r="B16" s="63"/>
      <c r="C16" s="48"/>
      <c r="D16" s="49"/>
      <c r="E16" s="50"/>
      <c r="F16" s="51"/>
      <c r="G16" s="67"/>
      <c r="H16" s="71"/>
      <c r="I16" s="49"/>
      <c r="J16" s="51"/>
      <c r="K16" s="51"/>
      <c r="L16" s="51"/>
      <c r="M16" s="75"/>
      <c r="N16" s="63" t="s">
        <v>21</v>
      </c>
      <c r="O16" s="52" t="s">
        <v>46</v>
      </c>
      <c r="P16" s="49"/>
      <c r="Q16" s="53">
        <v>1</v>
      </c>
      <c r="R16" s="84">
        <f t="shared" si="1"/>
        <v>0.75</v>
      </c>
    </row>
    <row r="17" spans="1:18" ht="24.95" customHeight="1" x14ac:dyDescent="0.15">
      <c r="A17" s="223"/>
      <c r="B17" s="63"/>
      <c r="C17" s="48"/>
      <c r="D17" s="49"/>
      <c r="E17" s="50"/>
      <c r="F17" s="51"/>
      <c r="G17" s="67"/>
      <c r="H17" s="71"/>
      <c r="I17" s="49"/>
      <c r="J17" s="51"/>
      <c r="K17" s="51"/>
      <c r="L17" s="51"/>
      <c r="M17" s="75"/>
      <c r="N17" s="63"/>
      <c r="O17" s="52" t="s">
        <v>48</v>
      </c>
      <c r="P17" s="49" t="s">
        <v>29</v>
      </c>
      <c r="Q17" s="53">
        <v>1.5</v>
      </c>
      <c r="R17" s="84">
        <f t="shared" si="1"/>
        <v>1.1300000000000001</v>
      </c>
    </row>
    <row r="18" spans="1:18" ht="24.95" customHeight="1" x14ac:dyDescent="0.15">
      <c r="A18" s="223"/>
      <c r="B18" s="62"/>
      <c r="C18" s="42"/>
      <c r="D18" s="43"/>
      <c r="E18" s="44"/>
      <c r="F18" s="45"/>
      <c r="G18" s="66"/>
      <c r="H18" s="70"/>
      <c r="I18" s="43"/>
      <c r="J18" s="45"/>
      <c r="K18" s="45"/>
      <c r="L18" s="45"/>
      <c r="M18" s="74"/>
      <c r="N18" s="62"/>
      <c r="O18" s="46"/>
      <c r="P18" s="43"/>
      <c r="Q18" s="47"/>
      <c r="R18" s="85"/>
    </row>
    <row r="19" spans="1:18" ht="24.95" customHeight="1" x14ac:dyDescent="0.15">
      <c r="A19" s="223"/>
      <c r="B19" s="63" t="s">
        <v>54</v>
      </c>
      <c r="C19" s="48" t="s">
        <v>56</v>
      </c>
      <c r="D19" s="49"/>
      <c r="E19" s="54">
        <v>0.125</v>
      </c>
      <c r="F19" s="51" t="s">
        <v>57</v>
      </c>
      <c r="G19" s="67"/>
      <c r="H19" s="71" t="s">
        <v>56</v>
      </c>
      <c r="I19" s="49"/>
      <c r="J19" s="51">
        <f>ROUNDUP(E19*0.75,2)</f>
        <v>9.9999999999999992E-2</v>
      </c>
      <c r="K19" s="51" t="s">
        <v>57</v>
      </c>
      <c r="L19" s="51"/>
      <c r="M19" s="75" t="e">
        <f>#REF!</f>
        <v>#REF!</v>
      </c>
      <c r="N19" s="63" t="s">
        <v>55</v>
      </c>
      <c r="O19" s="52"/>
      <c r="P19" s="49"/>
      <c r="Q19" s="53"/>
      <c r="R19" s="84"/>
    </row>
    <row r="20" spans="1:18" ht="24.95" customHeight="1" thickBot="1" x14ac:dyDescent="0.2">
      <c r="A20" s="224"/>
      <c r="B20" s="64"/>
      <c r="C20" s="55"/>
      <c r="D20" s="56"/>
      <c r="E20" s="57"/>
      <c r="F20" s="58"/>
      <c r="G20" s="68"/>
      <c r="H20" s="72"/>
      <c r="I20" s="56"/>
      <c r="J20" s="58"/>
      <c r="K20" s="58"/>
      <c r="L20" s="58"/>
      <c r="M20" s="76"/>
      <c r="N20" s="64"/>
      <c r="O20" s="59"/>
      <c r="P20" s="56"/>
      <c r="Q20" s="60"/>
      <c r="R20" s="86"/>
    </row>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254</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127</v>
      </c>
      <c r="C5" s="36" t="s">
        <v>113</v>
      </c>
      <c r="D5" s="37"/>
      <c r="E5" s="38">
        <v>30</v>
      </c>
      <c r="F5" s="39" t="s">
        <v>33</v>
      </c>
      <c r="G5" s="65" t="s">
        <v>71</v>
      </c>
      <c r="H5" s="69" t="s">
        <v>113</v>
      </c>
      <c r="I5" s="37"/>
      <c r="J5" s="39">
        <f>ROUNDUP(E5*0.75,2)</f>
        <v>22.5</v>
      </c>
      <c r="K5" s="39" t="s">
        <v>33</v>
      </c>
      <c r="L5" s="39" t="s">
        <v>71</v>
      </c>
      <c r="M5" s="73" t="e">
        <f>#REF!</f>
        <v>#REF!</v>
      </c>
      <c r="N5" s="61" t="s">
        <v>128</v>
      </c>
      <c r="O5" s="40" t="s">
        <v>15</v>
      </c>
      <c r="P5" s="37"/>
      <c r="Q5" s="41">
        <v>110</v>
      </c>
      <c r="R5" s="83">
        <f>ROUNDUP(Q5*0.75,2)</f>
        <v>82.5</v>
      </c>
    </row>
    <row r="6" spans="1:19" ht="24.95" customHeight="1" x14ac:dyDescent="0.15">
      <c r="A6" s="223"/>
      <c r="B6" s="63"/>
      <c r="C6" s="48" t="s">
        <v>50</v>
      </c>
      <c r="D6" s="49"/>
      <c r="E6" s="50">
        <v>50</v>
      </c>
      <c r="F6" s="51" t="s">
        <v>33</v>
      </c>
      <c r="G6" s="67"/>
      <c r="H6" s="71" t="s">
        <v>50</v>
      </c>
      <c r="I6" s="49"/>
      <c r="J6" s="51">
        <f>ROUNDUP(E6*0.75,2)</f>
        <v>37.5</v>
      </c>
      <c r="K6" s="51" t="s">
        <v>33</v>
      </c>
      <c r="L6" s="51"/>
      <c r="M6" s="75" t="e">
        <f>ROUND(#REF!+(#REF!*6/100),2)</f>
        <v>#REF!</v>
      </c>
      <c r="N6" s="63" t="s">
        <v>129</v>
      </c>
      <c r="O6" s="52" t="s">
        <v>109</v>
      </c>
      <c r="P6" s="49"/>
      <c r="Q6" s="53">
        <v>0.5</v>
      </c>
      <c r="R6" s="84">
        <f>ROUNDUP(Q6*0.75,2)</f>
        <v>0.38</v>
      </c>
    </row>
    <row r="7" spans="1:19" ht="24.95" customHeight="1" x14ac:dyDescent="0.15">
      <c r="A7" s="223"/>
      <c r="B7" s="63"/>
      <c r="C7" s="48" t="s">
        <v>133</v>
      </c>
      <c r="D7" s="49"/>
      <c r="E7" s="50">
        <v>50</v>
      </c>
      <c r="F7" s="51" t="s">
        <v>33</v>
      </c>
      <c r="G7" s="67"/>
      <c r="H7" s="71" t="s">
        <v>133</v>
      </c>
      <c r="I7" s="49"/>
      <c r="J7" s="51">
        <f>ROUNDUP(E7*0.75,2)</f>
        <v>37.5</v>
      </c>
      <c r="K7" s="51" t="s">
        <v>33</v>
      </c>
      <c r="L7" s="51"/>
      <c r="M7" s="75" t="e">
        <f>#REF!</f>
        <v>#REF!</v>
      </c>
      <c r="N7" s="63" t="s">
        <v>130</v>
      </c>
      <c r="O7" s="52" t="s">
        <v>30</v>
      </c>
      <c r="P7" s="49"/>
      <c r="Q7" s="53">
        <v>1</v>
      </c>
      <c r="R7" s="84">
        <f>ROUNDUP(Q7*0.75,2)</f>
        <v>0.75</v>
      </c>
    </row>
    <row r="8" spans="1:19" ht="24.95" customHeight="1" x14ac:dyDescent="0.15">
      <c r="A8" s="223"/>
      <c r="B8" s="63"/>
      <c r="C8" s="48" t="s">
        <v>134</v>
      </c>
      <c r="D8" s="49" t="s">
        <v>135</v>
      </c>
      <c r="E8" s="50">
        <v>10</v>
      </c>
      <c r="F8" s="51" t="s">
        <v>33</v>
      </c>
      <c r="G8" s="67"/>
      <c r="H8" s="71" t="s">
        <v>134</v>
      </c>
      <c r="I8" s="49" t="s">
        <v>135</v>
      </c>
      <c r="J8" s="51">
        <f>ROUNDUP(E8*0.75,2)</f>
        <v>7.5</v>
      </c>
      <c r="K8" s="51" t="s">
        <v>33</v>
      </c>
      <c r="L8" s="51"/>
      <c r="M8" s="75" t="e">
        <f>#REF!</f>
        <v>#REF!</v>
      </c>
      <c r="N8" s="63" t="s">
        <v>131</v>
      </c>
      <c r="O8" s="52" t="s">
        <v>82</v>
      </c>
      <c r="P8" s="49"/>
      <c r="Q8" s="53">
        <v>30</v>
      </c>
      <c r="R8" s="84">
        <f>ROUNDUP(Q8*0.75,2)</f>
        <v>22.5</v>
      </c>
    </row>
    <row r="9" spans="1:19" ht="24.95" customHeight="1" x14ac:dyDescent="0.15">
      <c r="A9" s="223"/>
      <c r="B9" s="63"/>
      <c r="C9" s="48" t="s">
        <v>80</v>
      </c>
      <c r="D9" s="49"/>
      <c r="E9" s="50">
        <v>5</v>
      </c>
      <c r="F9" s="51" t="s">
        <v>33</v>
      </c>
      <c r="G9" s="67" t="s">
        <v>81</v>
      </c>
      <c r="H9" s="71" t="s">
        <v>80</v>
      </c>
      <c r="I9" s="49"/>
      <c r="J9" s="51">
        <f>ROUNDUP(E9*0.75,2)</f>
        <v>3.75</v>
      </c>
      <c r="K9" s="51" t="s">
        <v>33</v>
      </c>
      <c r="L9" s="51" t="s">
        <v>81</v>
      </c>
      <c r="M9" s="75" t="e">
        <f>#REF!</f>
        <v>#REF!</v>
      </c>
      <c r="N9" s="63" t="s">
        <v>132</v>
      </c>
      <c r="O9" s="52" t="s">
        <v>46</v>
      </c>
      <c r="P9" s="49"/>
      <c r="Q9" s="53">
        <v>1</v>
      </c>
      <c r="R9" s="84">
        <f>ROUNDUP(Q9*0.75,2)</f>
        <v>0.75</v>
      </c>
    </row>
    <row r="10" spans="1:19" ht="24.95" customHeight="1" x14ac:dyDescent="0.15">
      <c r="A10" s="223"/>
      <c r="B10" s="63"/>
      <c r="C10" s="48"/>
      <c r="D10" s="49"/>
      <c r="E10" s="50"/>
      <c r="F10" s="51"/>
      <c r="G10" s="67"/>
      <c r="H10" s="71"/>
      <c r="I10" s="49"/>
      <c r="J10" s="51"/>
      <c r="K10" s="51"/>
      <c r="L10" s="51"/>
      <c r="M10" s="75"/>
      <c r="N10" s="63" t="s">
        <v>21</v>
      </c>
      <c r="O10" s="52"/>
      <c r="P10" s="49"/>
      <c r="Q10" s="53"/>
      <c r="R10" s="84"/>
    </row>
    <row r="11" spans="1:19" ht="24.95" customHeight="1" x14ac:dyDescent="0.15">
      <c r="A11" s="223"/>
      <c r="B11" s="63"/>
      <c r="C11" s="48"/>
      <c r="D11" s="49"/>
      <c r="E11" s="50"/>
      <c r="F11" s="51"/>
      <c r="G11" s="67"/>
      <c r="H11" s="71"/>
      <c r="I11" s="49"/>
      <c r="J11" s="51"/>
      <c r="K11" s="51"/>
      <c r="L11" s="51"/>
      <c r="M11" s="75"/>
      <c r="N11" s="63"/>
      <c r="O11" s="52"/>
      <c r="P11" s="49"/>
      <c r="Q11" s="53"/>
      <c r="R11" s="84"/>
    </row>
    <row r="12" spans="1:19" ht="24.95" customHeight="1" x14ac:dyDescent="0.15">
      <c r="A12" s="223"/>
      <c r="B12" s="62"/>
      <c r="C12" s="42"/>
      <c r="D12" s="43"/>
      <c r="E12" s="44"/>
      <c r="F12" s="45"/>
      <c r="G12" s="66"/>
      <c r="H12" s="70"/>
      <c r="I12" s="43"/>
      <c r="J12" s="45"/>
      <c r="K12" s="45"/>
      <c r="L12" s="45"/>
      <c r="M12" s="74"/>
      <c r="N12" s="62"/>
      <c r="O12" s="46"/>
      <c r="P12" s="43"/>
      <c r="Q12" s="47"/>
      <c r="R12" s="85"/>
    </row>
    <row r="13" spans="1:19" ht="24.95" customHeight="1" x14ac:dyDescent="0.15">
      <c r="A13" s="223"/>
      <c r="B13" s="63" t="s">
        <v>136</v>
      </c>
      <c r="C13" s="48" t="s">
        <v>138</v>
      </c>
      <c r="D13" s="49"/>
      <c r="E13" s="50">
        <v>40</v>
      </c>
      <c r="F13" s="51" t="s">
        <v>33</v>
      </c>
      <c r="G13" s="67"/>
      <c r="H13" s="71" t="s">
        <v>138</v>
      </c>
      <c r="I13" s="49"/>
      <c r="J13" s="51">
        <f>ROUNDUP(E13*0.75,2)</f>
        <v>30</v>
      </c>
      <c r="K13" s="51" t="s">
        <v>33</v>
      </c>
      <c r="L13" s="51"/>
      <c r="M13" s="75" t="e">
        <f>ROUND(#REF!+(#REF!*10/100),2)</f>
        <v>#REF!</v>
      </c>
      <c r="N13" s="63" t="s">
        <v>282</v>
      </c>
      <c r="O13" s="52" t="s">
        <v>27</v>
      </c>
      <c r="P13" s="49"/>
      <c r="Q13" s="53">
        <v>0.1</v>
      </c>
      <c r="R13" s="84">
        <f>ROUNDUP(Q13*0.75,2)</f>
        <v>0.08</v>
      </c>
    </row>
    <row r="14" spans="1:19" ht="24.95" customHeight="1" x14ac:dyDescent="0.15">
      <c r="A14" s="223"/>
      <c r="B14" s="63"/>
      <c r="C14" s="48" t="s">
        <v>68</v>
      </c>
      <c r="D14" s="49" t="s">
        <v>69</v>
      </c>
      <c r="E14" s="79">
        <v>0.5</v>
      </c>
      <c r="F14" s="51" t="s">
        <v>57</v>
      </c>
      <c r="G14" s="67"/>
      <c r="H14" s="71" t="s">
        <v>68</v>
      </c>
      <c r="I14" s="49" t="s">
        <v>69</v>
      </c>
      <c r="J14" s="51">
        <f>ROUNDUP(E14*0.75,2)</f>
        <v>0.38</v>
      </c>
      <c r="K14" s="51" t="s">
        <v>57</v>
      </c>
      <c r="L14" s="51"/>
      <c r="M14" s="75" t="e">
        <f>#REF!</f>
        <v>#REF!</v>
      </c>
      <c r="N14" s="63" t="s">
        <v>301</v>
      </c>
      <c r="O14" s="52" t="s">
        <v>46</v>
      </c>
      <c r="P14" s="49"/>
      <c r="Q14" s="53">
        <v>0.3</v>
      </c>
      <c r="R14" s="84">
        <f>ROUNDUP(Q14*0.75,2)</f>
        <v>0.23</v>
      </c>
    </row>
    <row r="15" spans="1:19" ht="24.95" customHeight="1" x14ac:dyDescent="0.15">
      <c r="A15" s="223"/>
      <c r="B15" s="63"/>
      <c r="C15" s="48" t="s">
        <v>139</v>
      </c>
      <c r="D15" s="49"/>
      <c r="E15" s="50">
        <v>5</v>
      </c>
      <c r="F15" s="51" t="s">
        <v>33</v>
      </c>
      <c r="G15" s="67"/>
      <c r="H15" s="71" t="s">
        <v>139</v>
      </c>
      <c r="I15" s="49"/>
      <c r="J15" s="51">
        <f>ROUNDUP(E15*0.75,2)</f>
        <v>3.75</v>
      </c>
      <c r="K15" s="51" t="s">
        <v>33</v>
      </c>
      <c r="L15" s="51"/>
      <c r="M15" s="75" t="e">
        <f>ROUND(#REF!+(#REF!*2/100),2)</f>
        <v>#REF!</v>
      </c>
      <c r="N15" s="63" t="s">
        <v>137</v>
      </c>
      <c r="O15" s="52" t="s">
        <v>25</v>
      </c>
      <c r="P15" s="49" t="s">
        <v>26</v>
      </c>
      <c r="Q15" s="53">
        <v>4</v>
      </c>
      <c r="R15" s="84">
        <f>ROUNDUP(Q15*0.75,2)</f>
        <v>3</v>
      </c>
    </row>
    <row r="16" spans="1:19" ht="24.95" customHeight="1" x14ac:dyDescent="0.15">
      <c r="A16" s="223"/>
      <c r="B16" s="62"/>
      <c r="C16" s="42"/>
      <c r="D16" s="43"/>
      <c r="E16" s="44"/>
      <c r="F16" s="45"/>
      <c r="G16" s="66"/>
      <c r="H16" s="70"/>
      <c r="I16" s="43"/>
      <c r="J16" s="45"/>
      <c r="K16" s="45"/>
      <c r="L16" s="45"/>
      <c r="M16" s="74"/>
      <c r="N16" s="62" t="s">
        <v>39</v>
      </c>
      <c r="O16" s="46"/>
      <c r="P16" s="43"/>
      <c r="Q16" s="47"/>
      <c r="R16" s="85"/>
    </row>
    <row r="17" spans="1:18" ht="24.95" customHeight="1" x14ac:dyDescent="0.15">
      <c r="A17" s="223"/>
      <c r="B17" s="63" t="s">
        <v>110</v>
      </c>
      <c r="C17" s="48" t="s">
        <v>111</v>
      </c>
      <c r="D17" s="49"/>
      <c r="E17" s="77">
        <v>0.25</v>
      </c>
      <c r="F17" s="51" t="s">
        <v>112</v>
      </c>
      <c r="G17" s="67"/>
      <c r="H17" s="71" t="s">
        <v>111</v>
      </c>
      <c r="I17" s="49"/>
      <c r="J17" s="51">
        <f>ROUNDUP(E17*0.75,2)</f>
        <v>0.19</v>
      </c>
      <c r="K17" s="51" t="s">
        <v>112</v>
      </c>
      <c r="L17" s="51"/>
      <c r="M17" s="75" t="e">
        <f>#REF!</f>
        <v>#REF!</v>
      </c>
      <c r="N17" s="63" t="s">
        <v>55</v>
      </c>
      <c r="O17" s="52"/>
      <c r="P17" s="49"/>
      <c r="Q17" s="53"/>
      <c r="R17" s="84"/>
    </row>
    <row r="18" spans="1:18" ht="24.95" customHeight="1" thickBot="1" x14ac:dyDescent="0.2">
      <c r="A18" s="224"/>
      <c r="B18" s="64"/>
      <c r="C18" s="55"/>
      <c r="D18" s="56"/>
      <c r="E18" s="57"/>
      <c r="F18" s="58"/>
      <c r="G18" s="68"/>
      <c r="H18" s="72"/>
      <c r="I18" s="56"/>
      <c r="J18" s="58"/>
      <c r="K18" s="58"/>
      <c r="L18" s="58"/>
      <c r="M18" s="76"/>
      <c r="N18" s="64"/>
      <c r="O18" s="59"/>
      <c r="P18" s="56"/>
      <c r="Q18" s="60"/>
      <c r="R18" s="86"/>
    </row>
    <row r="19" spans="1:18" ht="24.95" customHeight="1" x14ac:dyDescent="0.15"/>
    <row r="20" spans="1:18" ht="24.95" customHeight="1" x14ac:dyDescent="0.15"/>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2.5" customHeight="1" x14ac:dyDescent="0.15">
      <c r="A3" s="5"/>
      <c r="B3" s="225" t="s">
        <v>302</v>
      </c>
      <c r="C3" s="225"/>
      <c r="D3" s="3"/>
      <c r="E3" s="6"/>
      <c r="F3" s="2"/>
      <c r="G3" s="2"/>
      <c r="H3" s="2"/>
      <c r="I3" s="3"/>
      <c r="J3" s="2"/>
      <c r="K3" s="7"/>
      <c r="L3" s="7"/>
      <c r="M3" s="8"/>
      <c r="N3" s="2"/>
      <c r="O3"/>
      <c r="P3"/>
      <c r="Q3"/>
      <c r="R3"/>
      <c r="S3" s="3"/>
    </row>
    <row r="4" spans="1:19" ht="22.5" customHeight="1" x14ac:dyDescent="0.15">
      <c r="A4" s="5"/>
      <c r="B4" s="225"/>
      <c r="C4" s="225"/>
      <c r="D4" s="9"/>
      <c r="E4" s="6"/>
      <c r="F4" s="2"/>
      <c r="G4" s="2"/>
      <c r="H4" s="2"/>
      <c r="I4" s="9"/>
      <c r="J4" s="2"/>
      <c r="K4" s="7"/>
      <c r="L4" s="7"/>
      <c r="M4" s="8"/>
      <c r="N4" s="2"/>
      <c r="O4"/>
      <c r="P4"/>
      <c r="Q4"/>
      <c r="R4"/>
      <c r="S4" s="3"/>
    </row>
    <row r="5" spans="1:19" ht="27.75" customHeight="1" thickBot="1" x14ac:dyDescent="0.3">
      <c r="A5" s="220" t="s">
        <v>255</v>
      </c>
      <c r="B5" s="221"/>
      <c r="C5" s="221"/>
      <c r="D5" s="221"/>
      <c r="E5" s="221"/>
      <c r="F5" s="221"/>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0.100000000000001" customHeight="1" x14ac:dyDescent="0.15">
      <c r="A7" s="222" t="s">
        <v>58</v>
      </c>
      <c r="B7" s="61" t="s">
        <v>256</v>
      </c>
      <c r="C7" s="36" t="s">
        <v>50</v>
      </c>
      <c r="D7" s="37"/>
      <c r="E7" s="38">
        <v>20</v>
      </c>
      <c r="F7" s="39" t="s">
        <v>33</v>
      </c>
      <c r="G7" s="65"/>
      <c r="H7" s="69" t="s">
        <v>50</v>
      </c>
      <c r="I7" s="37"/>
      <c r="J7" s="39">
        <f>ROUNDUP(E7*0.75,2)</f>
        <v>15</v>
      </c>
      <c r="K7" s="39" t="s">
        <v>33</v>
      </c>
      <c r="L7" s="39"/>
      <c r="M7" s="73" t="e">
        <f>ROUND(#REF!+(#REF!*6/100),2)</f>
        <v>#REF!</v>
      </c>
      <c r="N7" s="61" t="s">
        <v>257</v>
      </c>
      <c r="O7" s="40" t="s">
        <v>15</v>
      </c>
      <c r="P7" s="37"/>
      <c r="Q7" s="41">
        <v>110</v>
      </c>
      <c r="R7" s="83">
        <f>ROUNDUP(Q7*0.75,2)</f>
        <v>82.5</v>
      </c>
    </row>
    <row r="8" spans="1:19" ht="20.100000000000001" customHeight="1" x14ac:dyDescent="0.15">
      <c r="A8" s="223"/>
      <c r="B8" s="63"/>
      <c r="C8" s="48" t="s">
        <v>264</v>
      </c>
      <c r="D8" s="49" t="s">
        <v>246</v>
      </c>
      <c r="E8" s="50">
        <v>1</v>
      </c>
      <c r="F8" s="51" t="s">
        <v>158</v>
      </c>
      <c r="G8" s="67" t="s">
        <v>43</v>
      </c>
      <c r="H8" s="71" t="s">
        <v>264</v>
      </c>
      <c r="I8" s="49" t="s">
        <v>246</v>
      </c>
      <c r="J8" s="51">
        <f>ROUNDUP(E8*0.75,2)</f>
        <v>0.75</v>
      </c>
      <c r="K8" s="51" t="s">
        <v>158</v>
      </c>
      <c r="L8" s="51" t="s">
        <v>43</v>
      </c>
      <c r="M8" s="75" t="e">
        <f>#REF!</f>
        <v>#REF!</v>
      </c>
      <c r="N8" s="63" t="s">
        <v>258</v>
      </c>
      <c r="O8" s="52" t="s">
        <v>83</v>
      </c>
      <c r="P8" s="49" t="s">
        <v>84</v>
      </c>
      <c r="Q8" s="53">
        <v>1</v>
      </c>
      <c r="R8" s="84">
        <f>ROUNDUP(Q8*0.75,2)</f>
        <v>0.75</v>
      </c>
    </row>
    <row r="9" spans="1:19" ht="20.100000000000001" customHeight="1" x14ac:dyDescent="0.15">
      <c r="A9" s="223"/>
      <c r="B9" s="63"/>
      <c r="C9" s="48" t="s">
        <v>265</v>
      </c>
      <c r="D9" s="49" t="s">
        <v>266</v>
      </c>
      <c r="E9" s="54">
        <v>0.125</v>
      </c>
      <c r="F9" s="51" t="s">
        <v>112</v>
      </c>
      <c r="G9" s="67" t="s">
        <v>43</v>
      </c>
      <c r="H9" s="71" t="s">
        <v>265</v>
      </c>
      <c r="I9" s="49" t="s">
        <v>267</v>
      </c>
      <c r="J9" s="51">
        <f>ROUNDUP(E9*0.75,2)</f>
        <v>9.9999999999999992E-2</v>
      </c>
      <c r="K9" s="51" t="s">
        <v>112</v>
      </c>
      <c r="L9" s="51" t="s">
        <v>43</v>
      </c>
      <c r="M9" s="75" t="e">
        <f>#REF!</f>
        <v>#REF!</v>
      </c>
      <c r="N9" s="63" t="s">
        <v>259</v>
      </c>
      <c r="O9" s="52" t="s">
        <v>30</v>
      </c>
      <c r="P9" s="49"/>
      <c r="Q9" s="53">
        <v>1</v>
      </c>
      <c r="R9" s="84">
        <f>ROUNDUP(Q9*0.75,2)</f>
        <v>0.75</v>
      </c>
    </row>
    <row r="10" spans="1:19" ht="20.100000000000001" customHeight="1" x14ac:dyDescent="0.15">
      <c r="A10" s="223"/>
      <c r="B10" s="63"/>
      <c r="C10" s="48" t="s">
        <v>64</v>
      </c>
      <c r="D10" s="49"/>
      <c r="E10" s="50">
        <v>3</v>
      </c>
      <c r="F10" s="51" t="s">
        <v>33</v>
      </c>
      <c r="G10" s="67" t="s">
        <v>32</v>
      </c>
      <c r="H10" s="71" t="s">
        <v>64</v>
      </c>
      <c r="I10" s="49"/>
      <c r="J10" s="51">
        <f>ROUNDUP(E10*0.75,2)</f>
        <v>2.25</v>
      </c>
      <c r="K10" s="51" t="s">
        <v>33</v>
      </c>
      <c r="L10" s="51" t="s">
        <v>32</v>
      </c>
      <c r="M10" s="75" t="e">
        <f>#REF!</f>
        <v>#REF!</v>
      </c>
      <c r="N10" s="63" t="s">
        <v>260</v>
      </c>
      <c r="O10" s="52" t="s">
        <v>27</v>
      </c>
      <c r="P10" s="49"/>
      <c r="Q10" s="53">
        <v>0.1</v>
      </c>
      <c r="R10" s="84">
        <f>ROUNDUP(Q10*0.75,2)</f>
        <v>0.08</v>
      </c>
    </row>
    <row r="11" spans="1:19" ht="20.100000000000001" customHeight="1" x14ac:dyDescent="0.15">
      <c r="A11" s="223"/>
      <c r="B11" s="63"/>
      <c r="C11" s="48"/>
      <c r="D11" s="49"/>
      <c r="E11" s="50"/>
      <c r="F11" s="51"/>
      <c r="G11" s="67"/>
      <c r="H11" s="71"/>
      <c r="I11" s="49"/>
      <c r="J11" s="51"/>
      <c r="K11" s="51"/>
      <c r="L11" s="51"/>
      <c r="M11" s="75"/>
      <c r="N11" s="63" t="s">
        <v>261</v>
      </c>
      <c r="O11" s="52" t="s">
        <v>118</v>
      </c>
      <c r="P11" s="49"/>
      <c r="Q11" s="53">
        <v>5</v>
      </c>
      <c r="R11" s="84">
        <f>ROUNDUP(Q11*0.75,2)</f>
        <v>3.75</v>
      </c>
    </row>
    <row r="12" spans="1:19" ht="20.100000000000001" customHeight="1" x14ac:dyDescent="0.15">
      <c r="A12" s="223"/>
      <c r="B12" s="63"/>
      <c r="C12" s="48"/>
      <c r="D12" s="49"/>
      <c r="E12" s="50"/>
      <c r="F12" s="51"/>
      <c r="G12" s="67"/>
      <c r="H12" s="71"/>
      <c r="I12" s="49"/>
      <c r="J12" s="51"/>
      <c r="K12" s="51"/>
      <c r="L12" s="51"/>
      <c r="M12" s="75"/>
      <c r="N12" s="63" t="s">
        <v>262</v>
      </c>
      <c r="O12" s="52"/>
      <c r="P12" s="49"/>
      <c r="Q12" s="53"/>
      <c r="R12" s="84"/>
    </row>
    <row r="13" spans="1:19" ht="20.100000000000001" customHeight="1" x14ac:dyDescent="0.15">
      <c r="A13" s="223"/>
      <c r="B13" s="63"/>
      <c r="C13" s="48"/>
      <c r="D13" s="49"/>
      <c r="E13" s="50"/>
      <c r="F13" s="51"/>
      <c r="G13" s="67"/>
      <c r="H13" s="71"/>
      <c r="I13" s="49"/>
      <c r="J13" s="51"/>
      <c r="K13" s="51"/>
      <c r="L13" s="51"/>
      <c r="M13" s="75"/>
      <c r="N13" s="63" t="s">
        <v>285</v>
      </c>
      <c r="O13" s="52"/>
      <c r="P13" s="49"/>
      <c r="Q13" s="53"/>
      <c r="R13" s="84"/>
    </row>
    <row r="14" spans="1:19" ht="20.100000000000001" customHeight="1" x14ac:dyDescent="0.15">
      <c r="A14" s="223"/>
      <c r="B14" s="63"/>
      <c r="C14" s="48"/>
      <c r="D14" s="49"/>
      <c r="E14" s="50"/>
      <c r="F14" s="51"/>
      <c r="G14" s="67"/>
      <c r="H14" s="71"/>
      <c r="I14" s="49"/>
      <c r="J14" s="51"/>
      <c r="K14" s="51"/>
      <c r="L14" s="51"/>
      <c r="M14" s="75"/>
      <c r="N14" s="63" t="s">
        <v>286</v>
      </c>
      <c r="O14" s="52"/>
      <c r="P14" s="49"/>
      <c r="Q14" s="53"/>
      <c r="R14" s="84"/>
    </row>
    <row r="15" spans="1:19" ht="20.100000000000001" customHeight="1" x14ac:dyDescent="0.15">
      <c r="A15" s="223"/>
      <c r="B15" s="63"/>
      <c r="C15" s="48"/>
      <c r="D15" s="49"/>
      <c r="E15" s="50"/>
      <c r="F15" s="51"/>
      <c r="G15" s="67"/>
      <c r="H15" s="71"/>
      <c r="I15" s="49"/>
      <c r="J15" s="51"/>
      <c r="K15" s="51"/>
      <c r="L15" s="51"/>
      <c r="M15" s="75"/>
      <c r="N15" s="63" t="s">
        <v>263</v>
      </c>
      <c r="O15" s="52"/>
      <c r="P15" s="49"/>
      <c r="Q15" s="53"/>
      <c r="R15" s="84"/>
    </row>
    <row r="16" spans="1:19" ht="20.100000000000001" customHeight="1" x14ac:dyDescent="0.15">
      <c r="A16" s="223"/>
      <c r="B16" s="62"/>
      <c r="C16" s="42"/>
      <c r="D16" s="43"/>
      <c r="E16" s="44"/>
      <c r="F16" s="45"/>
      <c r="G16" s="66"/>
      <c r="H16" s="70"/>
      <c r="I16" s="43"/>
      <c r="J16" s="45"/>
      <c r="K16" s="45"/>
      <c r="L16" s="45"/>
      <c r="M16" s="74"/>
      <c r="N16" s="62" t="s">
        <v>39</v>
      </c>
      <c r="O16" s="46"/>
      <c r="P16" s="43"/>
      <c r="Q16" s="47"/>
      <c r="R16" s="85"/>
    </row>
    <row r="17" spans="1:18" ht="20.100000000000001" customHeight="1" x14ac:dyDescent="0.15">
      <c r="A17" s="223"/>
      <c r="B17" s="63" t="s">
        <v>152</v>
      </c>
      <c r="C17" s="48" t="s">
        <v>157</v>
      </c>
      <c r="D17" s="49"/>
      <c r="E17" s="50">
        <v>1</v>
      </c>
      <c r="F17" s="51" t="s">
        <v>158</v>
      </c>
      <c r="G17" s="67" t="s">
        <v>71</v>
      </c>
      <c r="H17" s="71" t="s">
        <v>157</v>
      </c>
      <c r="I17" s="49"/>
      <c r="J17" s="51">
        <f>ROUNDUP(E17*0.75,2)</f>
        <v>0.75</v>
      </c>
      <c r="K17" s="51" t="s">
        <v>158</v>
      </c>
      <c r="L17" s="51" t="s">
        <v>71</v>
      </c>
      <c r="M17" s="75" t="e">
        <f>#REF!</f>
        <v>#REF!</v>
      </c>
      <c r="N17" s="63" t="s">
        <v>153</v>
      </c>
      <c r="O17" s="52" t="s">
        <v>46</v>
      </c>
      <c r="P17" s="49"/>
      <c r="Q17" s="53">
        <v>0.5</v>
      </c>
      <c r="R17" s="84">
        <f t="shared" ref="R17:R23" si="0">ROUNDUP(Q17*0.75,2)</f>
        <v>0.38</v>
      </c>
    </row>
    <row r="18" spans="1:18" ht="20.100000000000001" customHeight="1" x14ac:dyDescent="0.15">
      <c r="A18" s="223"/>
      <c r="B18" s="63"/>
      <c r="C18" s="48" t="s">
        <v>159</v>
      </c>
      <c r="D18" s="49"/>
      <c r="E18" s="50">
        <v>0.5</v>
      </c>
      <c r="F18" s="51" t="s">
        <v>33</v>
      </c>
      <c r="G18" s="67"/>
      <c r="H18" s="71" t="s">
        <v>159</v>
      </c>
      <c r="I18" s="49"/>
      <c r="J18" s="51">
        <f>ROUNDUP(E18*0.75,2)</f>
        <v>0.38</v>
      </c>
      <c r="K18" s="51" t="s">
        <v>33</v>
      </c>
      <c r="L18" s="51"/>
      <c r="M18" s="75" t="e">
        <f>ROUND(#REF!+(#REF!*8/100),2)</f>
        <v>#REF!</v>
      </c>
      <c r="N18" s="63" t="s">
        <v>154</v>
      </c>
      <c r="O18" s="52" t="s">
        <v>47</v>
      </c>
      <c r="P18" s="49"/>
      <c r="Q18" s="53">
        <v>2</v>
      </c>
      <c r="R18" s="84">
        <f t="shared" si="0"/>
        <v>1.5</v>
      </c>
    </row>
    <row r="19" spans="1:18" ht="20.100000000000001" customHeight="1" x14ac:dyDescent="0.15">
      <c r="A19" s="223"/>
      <c r="B19" s="63"/>
      <c r="C19" s="48" t="s">
        <v>160</v>
      </c>
      <c r="D19" s="49"/>
      <c r="E19" s="50">
        <v>0.5</v>
      </c>
      <c r="F19" s="51" t="s">
        <v>33</v>
      </c>
      <c r="G19" s="67"/>
      <c r="H19" s="71" t="s">
        <v>160</v>
      </c>
      <c r="I19" s="49"/>
      <c r="J19" s="51">
        <f>ROUNDUP(E19*0.75,2)</f>
        <v>0.38</v>
      </c>
      <c r="K19" s="51" t="s">
        <v>33</v>
      </c>
      <c r="L19" s="51"/>
      <c r="M19" s="75" t="e">
        <f>ROUND(#REF!+(#REF!*20/100),2)</f>
        <v>#REF!</v>
      </c>
      <c r="N19" s="63" t="s">
        <v>155</v>
      </c>
      <c r="O19" s="52" t="s">
        <v>48</v>
      </c>
      <c r="P19" s="49" t="s">
        <v>29</v>
      </c>
      <c r="Q19" s="53">
        <v>2</v>
      </c>
      <c r="R19" s="84">
        <f t="shared" si="0"/>
        <v>1.5</v>
      </c>
    </row>
    <row r="20" spans="1:18" ht="20.100000000000001" customHeight="1" x14ac:dyDescent="0.15">
      <c r="A20" s="223"/>
      <c r="B20" s="63"/>
      <c r="C20" s="48" t="s">
        <v>75</v>
      </c>
      <c r="D20" s="49"/>
      <c r="E20" s="50">
        <v>20</v>
      </c>
      <c r="F20" s="51" t="s">
        <v>33</v>
      </c>
      <c r="G20" s="67"/>
      <c r="H20" s="71" t="s">
        <v>75</v>
      </c>
      <c r="I20" s="49"/>
      <c r="J20" s="51">
        <f>ROUNDUP(E20*0.75,2)</f>
        <v>15</v>
      </c>
      <c r="K20" s="51" t="s">
        <v>33</v>
      </c>
      <c r="L20" s="51"/>
      <c r="M20" s="75" t="e">
        <f>ROUND(#REF!+(#REF!*15/100),2)</f>
        <v>#REF!</v>
      </c>
      <c r="N20" s="63" t="s">
        <v>156</v>
      </c>
      <c r="O20" s="52" t="s">
        <v>109</v>
      </c>
      <c r="P20" s="49"/>
      <c r="Q20" s="53">
        <v>1</v>
      </c>
      <c r="R20" s="84">
        <f t="shared" si="0"/>
        <v>0.75</v>
      </c>
    </row>
    <row r="21" spans="1:18" ht="20.100000000000001" customHeight="1" x14ac:dyDescent="0.15">
      <c r="A21" s="223"/>
      <c r="B21" s="63"/>
      <c r="C21" s="48"/>
      <c r="D21" s="49"/>
      <c r="E21" s="50"/>
      <c r="F21" s="51"/>
      <c r="G21" s="67"/>
      <c r="H21" s="71"/>
      <c r="I21" s="49"/>
      <c r="J21" s="51"/>
      <c r="K21" s="51"/>
      <c r="L21" s="51"/>
      <c r="M21" s="75"/>
      <c r="N21" s="63" t="s">
        <v>21</v>
      </c>
      <c r="O21" s="52" t="s">
        <v>28</v>
      </c>
      <c r="P21" s="49" t="s">
        <v>29</v>
      </c>
      <c r="Q21" s="53">
        <v>2</v>
      </c>
      <c r="R21" s="84">
        <f t="shared" si="0"/>
        <v>1.5</v>
      </c>
    </row>
    <row r="22" spans="1:18" ht="20.100000000000001" customHeight="1" x14ac:dyDescent="0.15">
      <c r="A22" s="223"/>
      <c r="B22" s="63"/>
      <c r="C22" s="48"/>
      <c r="D22" s="49"/>
      <c r="E22" s="50"/>
      <c r="F22" s="51"/>
      <c r="G22" s="67"/>
      <c r="H22" s="71"/>
      <c r="I22" s="49"/>
      <c r="J22" s="51"/>
      <c r="K22" s="51"/>
      <c r="L22" s="51"/>
      <c r="M22" s="75"/>
      <c r="N22" s="63"/>
      <c r="O22" s="52" t="s">
        <v>85</v>
      </c>
      <c r="P22" s="49"/>
      <c r="Q22" s="53">
        <v>2</v>
      </c>
      <c r="R22" s="84">
        <f t="shared" si="0"/>
        <v>1.5</v>
      </c>
    </row>
    <row r="23" spans="1:18" ht="20.100000000000001" customHeight="1" x14ac:dyDescent="0.15">
      <c r="A23" s="223"/>
      <c r="B23" s="63"/>
      <c r="C23" s="48"/>
      <c r="D23" s="49"/>
      <c r="E23" s="50"/>
      <c r="F23" s="51"/>
      <c r="G23" s="67"/>
      <c r="H23" s="71"/>
      <c r="I23" s="49"/>
      <c r="J23" s="51"/>
      <c r="K23" s="51"/>
      <c r="L23" s="51"/>
      <c r="M23" s="75"/>
      <c r="N23" s="63"/>
      <c r="O23" s="52" t="s">
        <v>30</v>
      </c>
      <c r="P23" s="49"/>
      <c r="Q23" s="53">
        <v>4</v>
      </c>
      <c r="R23" s="84">
        <f t="shared" si="0"/>
        <v>3</v>
      </c>
    </row>
    <row r="24" spans="1:18" ht="20.100000000000001" customHeight="1" x14ac:dyDescent="0.15">
      <c r="A24" s="223"/>
      <c r="B24" s="62"/>
      <c r="C24" s="42"/>
      <c r="D24" s="43"/>
      <c r="E24" s="44"/>
      <c r="F24" s="45"/>
      <c r="G24" s="66"/>
      <c r="H24" s="70"/>
      <c r="I24" s="43"/>
      <c r="J24" s="45"/>
      <c r="K24" s="45"/>
      <c r="L24" s="45"/>
      <c r="M24" s="74"/>
      <c r="N24" s="62"/>
      <c r="O24" s="46"/>
      <c r="P24" s="43"/>
      <c r="Q24" s="47"/>
      <c r="R24" s="85"/>
    </row>
    <row r="25" spans="1:18" ht="20.100000000000001" customHeight="1" x14ac:dyDescent="0.15">
      <c r="A25" s="223"/>
      <c r="B25" s="63" t="s">
        <v>161</v>
      </c>
      <c r="C25" s="48" t="s">
        <v>165</v>
      </c>
      <c r="D25" s="49" t="s">
        <v>29</v>
      </c>
      <c r="E25" s="50">
        <v>10</v>
      </c>
      <c r="F25" s="51" t="s">
        <v>33</v>
      </c>
      <c r="G25" s="67" t="s">
        <v>166</v>
      </c>
      <c r="H25" s="71" t="s">
        <v>165</v>
      </c>
      <c r="I25" s="49" t="s">
        <v>29</v>
      </c>
      <c r="J25" s="51">
        <f>ROUNDUP(E25*0.75,2)</f>
        <v>7.5</v>
      </c>
      <c r="K25" s="51" t="s">
        <v>33</v>
      </c>
      <c r="L25" s="51" t="s">
        <v>166</v>
      </c>
      <c r="M25" s="75" t="e">
        <f>#REF!</f>
        <v>#REF!</v>
      </c>
      <c r="N25" s="63" t="s">
        <v>162</v>
      </c>
      <c r="O25" s="52" t="s">
        <v>46</v>
      </c>
      <c r="P25" s="49"/>
      <c r="Q25" s="53">
        <v>0.3</v>
      </c>
      <c r="R25" s="84">
        <f>ROUNDUP(Q25*0.75,2)</f>
        <v>0.23</v>
      </c>
    </row>
    <row r="26" spans="1:18" ht="20.100000000000001" customHeight="1" x14ac:dyDescent="0.15">
      <c r="A26" s="223"/>
      <c r="B26" s="63"/>
      <c r="C26" s="48" t="s">
        <v>139</v>
      </c>
      <c r="D26" s="49"/>
      <c r="E26" s="50">
        <v>10</v>
      </c>
      <c r="F26" s="51" t="s">
        <v>33</v>
      </c>
      <c r="G26" s="67"/>
      <c r="H26" s="71" t="s">
        <v>139</v>
      </c>
      <c r="I26" s="49"/>
      <c r="J26" s="51">
        <f>ROUNDUP(E26*0.75,2)</f>
        <v>7.5</v>
      </c>
      <c r="K26" s="51" t="s">
        <v>33</v>
      </c>
      <c r="L26" s="51"/>
      <c r="M26" s="75" t="e">
        <f>ROUND(#REF!+(#REF!*2/100),2)</f>
        <v>#REF!</v>
      </c>
      <c r="N26" s="63" t="s">
        <v>163</v>
      </c>
      <c r="O26" s="52" t="s">
        <v>27</v>
      </c>
      <c r="P26" s="49"/>
      <c r="Q26" s="53">
        <v>0.1</v>
      </c>
      <c r="R26" s="84">
        <f>ROUNDUP(Q26*0.75,2)</f>
        <v>0.08</v>
      </c>
    </row>
    <row r="27" spans="1:18" ht="20.100000000000001" customHeight="1" x14ac:dyDescent="0.15">
      <c r="A27" s="223"/>
      <c r="B27" s="63"/>
      <c r="C27" s="48" t="s">
        <v>41</v>
      </c>
      <c r="D27" s="49"/>
      <c r="E27" s="50">
        <v>5</v>
      </c>
      <c r="F27" s="51" t="s">
        <v>33</v>
      </c>
      <c r="G27" s="67"/>
      <c r="H27" s="71" t="s">
        <v>41</v>
      </c>
      <c r="I27" s="49"/>
      <c r="J27" s="51">
        <f>ROUNDUP(E27*0.75,2)</f>
        <v>3.75</v>
      </c>
      <c r="K27" s="51" t="s">
        <v>33</v>
      </c>
      <c r="L27" s="51"/>
      <c r="M27" s="75" t="e">
        <f>ROUND(#REF!+(#REF!*3/100),2)</f>
        <v>#REF!</v>
      </c>
      <c r="N27" s="63" t="s">
        <v>164</v>
      </c>
      <c r="O27" s="52" t="s">
        <v>25</v>
      </c>
      <c r="P27" s="49" t="s">
        <v>26</v>
      </c>
      <c r="Q27" s="53">
        <v>4</v>
      </c>
      <c r="R27" s="84">
        <f>ROUNDUP(Q27*0.75,2)</f>
        <v>3</v>
      </c>
    </row>
    <row r="28" spans="1:18" ht="20.100000000000001" customHeight="1" x14ac:dyDescent="0.15">
      <c r="A28" s="223"/>
      <c r="B28" s="63"/>
      <c r="C28" s="48"/>
      <c r="D28" s="49"/>
      <c r="E28" s="50"/>
      <c r="F28" s="51"/>
      <c r="G28" s="67"/>
      <c r="H28" s="71"/>
      <c r="I28" s="49"/>
      <c r="J28" s="51"/>
      <c r="K28" s="51"/>
      <c r="L28" s="51"/>
      <c r="M28" s="75"/>
      <c r="N28" s="63" t="s">
        <v>39</v>
      </c>
      <c r="O28" s="52"/>
      <c r="P28" s="49"/>
      <c r="Q28" s="53"/>
      <c r="R28" s="84"/>
    </row>
    <row r="29" spans="1:18" ht="20.100000000000001" customHeight="1" x14ac:dyDescent="0.15">
      <c r="A29" s="223"/>
      <c r="B29" s="62"/>
      <c r="C29" s="42"/>
      <c r="D29" s="43"/>
      <c r="E29" s="44"/>
      <c r="F29" s="45"/>
      <c r="G29" s="66"/>
      <c r="H29" s="70"/>
      <c r="I29" s="43"/>
      <c r="J29" s="45"/>
      <c r="K29" s="45"/>
      <c r="L29" s="45"/>
      <c r="M29" s="74"/>
      <c r="N29" s="62"/>
      <c r="O29" s="46"/>
      <c r="P29" s="43"/>
      <c r="Q29" s="47"/>
      <c r="R29" s="85"/>
    </row>
    <row r="30" spans="1:18" ht="20.100000000000001" customHeight="1" x14ac:dyDescent="0.15">
      <c r="A30" s="223"/>
      <c r="B30" s="63" t="s">
        <v>124</v>
      </c>
      <c r="C30" s="48" t="s">
        <v>125</v>
      </c>
      <c r="D30" s="49"/>
      <c r="E30" s="78">
        <v>0.16666666666666666</v>
      </c>
      <c r="F30" s="51" t="s">
        <v>57</v>
      </c>
      <c r="G30" s="67"/>
      <c r="H30" s="71" t="s">
        <v>125</v>
      </c>
      <c r="I30" s="49"/>
      <c r="J30" s="51">
        <f>ROUNDUP(E30*0.75,2)</f>
        <v>0.13</v>
      </c>
      <c r="K30" s="51" t="s">
        <v>57</v>
      </c>
      <c r="L30" s="51"/>
      <c r="M30" s="75" t="e">
        <f>#REF!</f>
        <v>#REF!</v>
      </c>
      <c r="N30" s="63" t="s">
        <v>55</v>
      </c>
      <c r="O30" s="52"/>
      <c r="P30" s="49"/>
      <c r="Q30" s="53"/>
      <c r="R30" s="84"/>
    </row>
    <row r="31" spans="1:18" ht="20.100000000000001" customHeight="1" thickBot="1" x14ac:dyDescent="0.2">
      <c r="A31" s="224"/>
      <c r="B31" s="64"/>
      <c r="C31" s="55"/>
      <c r="D31" s="56"/>
      <c r="E31" s="57"/>
      <c r="F31" s="58"/>
      <c r="G31" s="68"/>
      <c r="H31" s="72"/>
      <c r="I31" s="56"/>
      <c r="J31" s="58"/>
      <c r="K31" s="58"/>
      <c r="L31" s="58"/>
      <c r="M31" s="76"/>
      <c r="N31" s="64"/>
      <c r="O31" s="59"/>
      <c r="P31" s="56"/>
      <c r="Q31" s="60"/>
      <c r="R31" s="86"/>
    </row>
    <row r="34" spans="16:18" ht="18.75" customHeight="1" x14ac:dyDescent="0.15">
      <c r="P34" s="227" t="s">
        <v>312</v>
      </c>
      <c r="Q34" s="227"/>
      <c r="R34" s="227"/>
    </row>
  </sheetData>
  <mergeCells count="6">
    <mergeCell ref="P34:R34"/>
    <mergeCell ref="H1:N1"/>
    <mergeCell ref="A2:R2"/>
    <mergeCell ref="A5:F5"/>
    <mergeCell ref="A7:A31"/>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268</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0.100000000000001" customHeight="1" x14ac:dyDescent="0.15">
      <c r="A5" s="222" t="s">
        <v>58</v>
      </c>
      <c r="B5" s="61" t="s">
        <v>185</v>
      </c>
      <c r="C5" s="36" t="s">
        <v>186</v>
      </c>
      <c r="D5" s="37" t="s">
        <v>187</v>
      </c>
      <c r="E5" s="81">
        <v>0.5</v>
      </c>
      <c r="F5" s="39" t="s">
        <v>114</v>
      </c>
      <c r="G5" s="65" t="s">
        <v>43</v>
      </c>
      <c r="H5" s="69" t="s">
        <v>186</v>
      </c>
      <c r="I5" s="37" t="s">
        <v>187</v>
      </c>
      <c r="J5" s="39">
        <f>ROUNDUP(E5*0.75,2)</f>
        <v>0.38</v>
      </c>
      <c r="K5" s="39" t="s">
        <v>114</v>
      </c>
      <c r="L5" s="39" t="s">
        <v>43</v>
      </c>
      <c r="M5" s="73" t="e">
        <f>#REF!</f>
        <v>#REF!</v>
      </c>
      <c r="N5" s="61"/>
      <c r="O5" s="40" t="s">
        <v>15</v>
      </c>
      <c r="P5" s="37"/>
      <c r="Q5" s="41">
        <v>110</v>
      </c>
      <c r="R5" s="83">
        <f>ROUNDUP(Q5*0.75,2)</f>
        <v>82.5</v>
      </c>
    </row>
    <row r="6" spans="1:19" ht="20.100000000000001" customHeight="1" x14ac:dyDescent="0.15">
      <c r="A6" s="223"/>
      <c r="B6" s="62"/>
      <c r="C6" s="42"/>
      <c r="D6" s="43"/>
      <c r="E6" s="44"/>
      <c r="F6" s="45"/>
      <c r="G6" s="66"/>
      <c r="H6" s="70"/>
      <c r="I6" s="43"/>
      <c r="J6" s="45"/>
      <c r="K6" s="45"/>
      <c r="L6" s="45"/>
      <c r="M6" s="74"/>
      <c r="N6" s="62"/>
      <c r="O6" s="46"/>
      <c r="P6" s="43"/>
      <c r="Q6" s="47"/>
      <c r="R6" s="85"/>
    </row>
    <row r="7" spans="1:19" ht="20.100000000000001" customHeight="1" x14ac:dyDescent="0.15">
      <c r="A7" s="223"/>
      <c r="B7" s="63" t="s">
        <v>188</v>
      </c>
      <c r="C7" s="48" t="s">
        <v>116</v>
      </c>
      <c r="D7" s="49"/>
      <c r="E7" s="50">
        <v>1</v>
      </c>
      <c r="F7" s="51" t="s">
        <v>24</v>
      </c>
      <c r="G7" s="67" t="s">
        <v>117</v>
      </c>
      <c r="H7" s="71" t="s">
        <v>116</v>
      </c>
      <c r="I7" s="49"/>
      <c r="J7" s="51">
        <f>ROUNDUP(E7*0.75,2)</f>
        <v>0.75</v>
      </c>
      <c r="K7" s="51" t="s">
        <v>24</v>
      </c>
      <c r="L7" s="51" t="s">
        <v>117</v>
      </c>
      <c r="M7" s="75" t="e">
        <f>#REF!</f>
        <v>#REF!</v>
      </c>
      <c r="N7" s="63" t="s">
        <v>115</v>
      </c>
      <c r="O7" s="52" t="s">
        <v>109</v>
      </c>
      <c r="P7" s="49"/>
      <c r="Q7" s="53">
        <v>0.5</v>
      </c>
      <c r="R7" s="84">
        <f t="shared" ref="R7:R15" si="0">ROUNDUP(Q7*0.75,2)</f>
        <v>0.38</v>
      </c>
    </row>
    <row r="8" spans="1:19" ht="20.100000000000001" customHeight="1" x14ac:dyDescent="0.15">
      <c r="A8" s="223"/>
      <c r="B8" s="63"/>
      <c r="C8" s="48" t="s">
        <v>191</v>
      </c>
      <c r="D8" s="49"/>
      <c r="E8" s="50">
        <v>20</v>
      </c>
      <c r="F8" s="51" t="s">
        <v>33</v>
      </c>
      <c r="G8" s="67" t="s">
        <v>81</v>
      </c>
      <c r="H8" s="71" t="s">
        <v>191</v>
      </c>
      <c r="I8" s="49"/>
      <c r="J8" s="51">
        <f>ROUNDUP(E8*0.75,2)</f>
        <v>15</v>
      </c>
      <c r="K8" s="51" t="s">
        <v>33</v>
      </c>
      <c r="L8" s="51" t="s">
        <v>81</v>
      </c>
      <c r="M8" s="75" t="e">
        <f>#REF!</f>
        <v>#REF!</v>
      </c>
      <c r="N8" s="63" t="s">
        <v>189</v>
      </c>
      <c r="O8" s="52" t="s">
        <v>28</v>
      </c>
      <c r="P8" s="49" t="s">
        <v>29</v>
      </c>
      <c r="Q8" s="53">
        <v>5</v>
      </c>
      <c r="R8" s="84">
        <f t="shared" si="0"/>
        <v>3.75</v>
      </c>
    </row>
    <row r="9" spans="1:19" ht="20.100000000000001" customHeight="1" x14ac:dyDescent="0.15">
      <c r="A9" s="223"/>
      <c r="B9" s="63"/>
      <c r="C9" s="48" t="s">
        <v>31</v>
      </c>
      <c r="D9" s="49"/>
      <c r="E9" s="50">
        <v>5</v>
      </c>
      <c r="F9" s="51" t="s">
        <v>33</v>
      </c>
      <c r="G9" s="67" t="s">
        <v>32</v>
      </c>
      <c r="H9" s="71" t="s">
        <v>31</v>
      </c>
      <c r="I9" s="49"/>
      <c r="J9" s="51">
        <f>ROUNDUP(E9*0.75,2)</f>
        <v>3.75</v>
      </c>
      <c r="K9" s="51" t="s">
        <v>33</v>
      </c>
      <c r="L9" s="51" t="s">
        <v>32</v>
      </c>
      <c r="M9" s="75" t="e">
        <f>#REF!</f>
        <v>#REF!</v>
      </c>
      <c r="N9" s="63" t="s">
        <v>190</v>
      </c>
      <c r="O9" s="52" t="s">
        <v>30</v>
      </c>
      <c r="P9" s="49"/>
      <c r="Q9" s="53">
        <v>2</v>
      </c>
      <c r="R9" s="84">
        <f t="shared" si="0"/>
        <v>1.5</v>
      </c>
    </row>
    <row r="10" spans="1:19" ht="20.100000000000001" customHeight="1" x14ac:dyDescent="0.15">
      <c r="A10" s="223"/>
      <c r="B10" s="63"/>
      <c r="C10" s="48"/>
      <c r="D10" s="49"/>
      <c r="E10" s="50"/>
      <c r="F10" s="51"/>
      <c r="G10" s="67"/>
      <c r="H10" s="71"/>
      <c r="I10" s="49"/>
      <c r="J10" s="51"/>
      <c r="K10" s="51"/>
      <c r="L10" s="51"/>
      <c r="M10" s="75"/>
      <c r="N10" s="63" t="s">
        <v>21</v>
      </c>
      <c r="O10" s="52" t="s">
        <v>48</v>
      </c>
      <c r="P10" s="49" t="s">
        <v>29</v>
      </c>
      <c r="Q10" s="53">
        <v>1.5</v>
      </c>
      <c r="R10" s="84">
        <f t="shared" si="0"/>
        <v>1.1300000000000001</v>
      </c>
    </row>
    <row r="11" spans="1:19" ht="20.100000000000001" customHeight="1" x14ac:dyDescent="0.15">
      <c r="A11" s="223"/>
      <c r="B11" s="63"/>
      <c r="C11" s="48"/>
      <c r="D11" s="49"/>
      <c r="E11" s="50"/>
      <c r="F11" s="51"/>
      <c r="G11" s="67"/>
      <c r="H11" s="71"/>
      <c r="I11" s="49"/>
      <c r="J11" s="51"/>
      <c r="K11" s="51"/>
      <c r="L11" s="51"/>
      <c r="M11" s="75"/>
      <c r="N11" s="63"/>
      <c r="O11" s="52" t="s">
        <v>47</v>
      </c>
      <c r="P11" s="49"/>
      <c r="Q11" s="53">
        <v>2</v>
      </c>
      <c r="R11" s="84">
        <f t="shared" si="0"/>
        <v>1.5</v>
      </c>
    </row>
    <row r="12" spans="1:19" ht="20.100000000000001" customHeight="1" x14ac:dyDescent="0.15">
      <c r="A12" s="223"/>
      <c r="B12" s="63"/>
      <c r="C12" s="48"/>
      <c r="D12" s="49"/>
      <c r="E12" s="50"/>
      <c r="F12" s="51"/>
      <c r="G12" s="67"/>
      <c r="H12" s="71"/>
      <c r="I12" s="49"/>
      <c r="J12" s="51"/>
      <c r="K12" s="51"/>
      <c r="L12" s="51"/>
      <c r="M12" s="75"/>
      <c r="N12" s="63"/>
      <c r="O12" s="52" t="s">
        <v>63</v>
      </c>
      <c r="P12" s="49" t="s">
        <v>60</v>
      </c>
      <c r="Q12" s="53">
        <v>2</v>
      </c>
      <c r="R12" s="84">
        <f t="shared" si="0"/>
        <v>1.5</v>
      </c>
    </row>
    <row r="13" spans="1:19" ht="20.100000000000001" customHeight="1" x14ac:dyDescent="0.15">
      <c r="A13" s="223"/>
      <c r="B13" s="63"/>
      <c r="C13" s="48"/>
      <c r="D13" s="49"/>
      <c r="E13" s="50"/>
      <c r="F13" s="51"/>
      <c r="G13" s="67"/>
      <c r="H13" s="71"/>
      <c r="I13" s="49"/>
      <c r="J13" s="51"/>
      <c r="K13" s="51"/>
      <c r="L13" s="51"/>
      <c r="M13" s="75"/>
      <c r="N13" s="63"/>
      <c r="O13" s="52" t="s">
        <v>30</v>
      </c>
      <c r="P13" s="49"/>
      <c r="Q13" s="53">
        <v>1</v>
      </c>
      <c r="R13" s="84">
        <f t="shared" si="0"/>
        <v>0.75</v>
      </c>
    </row>
    <row r="14" spans="1:19" ht="20.100000000000001" customHeight="1" x14ac:dyDescent="0.15">
      <c r="A14" s="223"/>
      <c r="B14" s="63"/>
      <c r="C14" s="48"/>
      <c r="D14" s="49"/>
      <c r="E14" s="50"/>
      <c r="F14" s="51"/>
      <c r="G14" s="67"/>
      <c r="H14" s="71"/>
      <c r="I14" s="49"/>
      <c r="J14" s="51"/>
      <c r="K14" s="51"/>
      <c r="L14" s="51"/>
      <c r="M14" s="75"/>
      <c r="N14" s="63"/>
      <c r="O14" s="52" t="s">
        <v>27</v>
      </c>
      <c r="P14" s="49"/>
      <c r="Q14" s="53">
        <v>0.05</v>
      </c>
      <c r="R14" s="84">
        <f t="shared" si="0"/>
        <v>0.04</v>
      </c>
    </row>
    <row r="15" spans="1:19" ht="20.100000000000001" customHeight="1" x14ac:dyDescent="0.15">
      <c r="A15" s="223"/>
      <c r="B15" s="63"/>
      <c r="C15" s="48"/>
      <c r="D15" s="49"/>
      <c r="E15" s="50"/>
      <c r="F15" s="51"/>
      <c r="G15" s="67"/>
      <c r="H15" s="71"/>
      <c r="I15" s="49"/>
      <c r="J15" s="51"/>
      <c r="K15" s="51"/>
      <c r="L15" s="51"/>
      <c r="M15" s="75"/>
      <c r="N15" s="63"/>
      <c r="O15" s="52" t="s">
        <v>73</v>
      </c>
      <c r="P15" s="49"/>
      <c r="Q15" s="53">
        <v>0.01</v>
      </c>
      <c r="R15" s="84">
        <f t="shared" si="0"/>
        <v>0.01</v>
      </c>
    </row>
    <row r="16" spans="1:19" ht="20.100000000000001" customHeight="1" x14ac:dyDescent="0.15">
      <c r="A16" s="223"/>
      <c r="B16" s="62"/>
      <c r="C16" s="42"/>
      <c r="D16" s="43"/>
      <c r="E16" s="44"/>
      <c r="F16" s="45"/>
      <c r="G16" s="66"/>
      <c r="H16" s="70"/>
      <c r="I16" s="43"/>
      <c r="J16" s="45"/>
      <c r="K16" s="45"/>
      <c r="L16" s="45"/>
      <c r="M16" s="74"/>
      <c r="N16" s="62"/>
      <c r="O16" s="46"/>
      <c r="P16" s="43"/>
      <c r="Q16" s="47"/>
      <c r="R16" s="85"/>
    </row>
    <row r="17" spans="1:18" ht="20.100000000000001" customHeight="1" x14ac:dyDescent="0.15">
      <c r="A17" s="223"/>
      <c r="B17" s="63" t="s">
        <v>192</v>
      </c>
      <c r="C17" s="48" t="s">
        <v>113</v>
      </c>
      <c r="D17" s="49"/>
      <c r="E17" s="50">
        <v>20</v>
      </c>
      <c r="F17" s="51" t="s">
        <v>33</v>
      </c>
      <c r="G17" s="67" t="s">
        <v>71</v>
      </c>
      <c r="H17" s="71" t="s">
        <v>113</v>
      </c>
      <c r="I17" s="49"/>
      <c r="J17" s="51">
        <f>ROUNDUP(E17*0.75,2)</f>
        <v>15</v>
      </c>
      <c r="K17" s="51" t="s">
        <v>33</v>
      </c>
      <c r="L17" s="51" t="s">
        <v>71</v>
      </c>
      <c r="M17" s="75" t="e">
        <f>#REF!</f>
        <v>#REF!</v>
      </c>
      <c r="N17" s="63" t="s">
        <v>193</v>
      </c>
      <c r="O17" s="52" t="s">
        <v>109</v>
      </c>
      <c r="P17" s="49"/>
      <c r="Q17" s="53">
        <v>0.5</v>
      </c>
      <c r="R17" s="84">
        <f t="shared" ref="R17:R22" si="1">ROUNDUP(Q17*0.75,2)</f>
        <v>0.38</v>
      </c>
    </row>
    <row r="18" spans="1:18" ht="20.100000000000001" customHeight="1" x14ac:dyDescent="0.15">
      <c r="A18" s="223"/>
      <c r="B18" s="63"/>
      <c r="C18" s="48" t="s">
        <v>138</v>
      </c>
      <c r="D18" s="49"/>
      <c r="E18" s="50">
        <v>30</v>
      </c>
      <c r="F18" s="51" t="s">
        <v>33</v>
      </c>
      <c r="G18" s="67"/>
      <c r="H18" s="71" t="s">
        <v>138</v>
      </c>
      <c r="I18" s="49"/>
      <c r="J18" s="51">
        <f>ROUNDUP(E18*0.75,2)</f>
        <v>22.5</v>
      </c>
      <c r="K18" s="51" t="s">
        <v>33</v>
      </c>
      <c r="L18" s="51"/>
      <c r="M18" s="75" t="e">
        <f>ROUND(#REF!+(#REF!*10/100),2)</f>
        <v>#REF!</v>
      </c>
      <c r="N18" s="63" t="s">
        <v>194</v>
      </c>
      <c r="O18" s="52" t="s">
        <v>30</v>
      </c>
      <c r="P18" s="49"/>
      <c r="Q18" s="53">
        <v>2</v>
      </c>
      <c r="R18" s="84">
        <f t="shared" si="1"/>
        <v>1.5</v>
      </c>
    </row>
    <row r="19" spans="1:18" ht="20.100000000000001" customHeight="1" x14ac:dyDescent="0.15">
      <c r="A19" s="223"/>
      <c r="B19" s="63"/>
      <c r="C19" s="48" t="s">
        <v>50</v>
      </c>
      <c r="D19" s="49"/>
      <c r="E19" s="50">
        <v>10</v>
      </c>
      <c r="F19" s="51" t="s">
        <v>33</v>
      </c>
      <c r="G19" s="67"/>
      <c r="H19" s="71" t="s">
        <v>50</v>
      </c>
      <c r="I19" s="49"/>
      <c r="J19" s="51">
        <f>ROUNDUP(E19*0.75,2)</f>
        <v>7.5</v>
      </c>
      <c r="K19" s="51" t="s">
        <v>33</v>
      </c>
      <c r="L19" s="51"/>
      <c r="M19" s="75" t="e">
        <f>ROUND(#REF!+(#REF!*6/100),2)</f>
        <v>#REF!</v>
      </c>
      <c r="N19" s="63" t="s">
        <v>21</v>
      </c>
      <c r="O19" s="52" t="s">
        <v>45</v>
      </c>
      <c r="P19" s="49"/>
      <c r="Q19" s="53">
        <v>30</v>
      </c>
      <c r="R19" s="84">
        <f t="shared" si="1"/>
        <v>22.5</v>
      </c>
    </row>
    <row r="20" spans="1:18" ht="20.100000000000001" customHeight="1" x14ac:dyDescent="0.15">
      <c r="A20" s="223"/>
      <c r="B20" s="63"/>
      <c r="C20" s="48" t="s">
        <v>41</v>
      </c>
      <c r="D20" s="49"/>
      <c r="E20" s="50">
        <v>5</v>
      </c>
      <c r="F20" s="51" t="s">
        <v>33</v>
      </c>
      <c r="G20" s="67"/>
      <c r="H20" s="71" t="s">
        <v>41</v>
      </c>
      <c r="I20" s="49"/>
      <c r="J20" s="51">
        <f>ROUNDUP(E20*0.75,2)</f>
        <v>3.75</v>
      </c>
      <c r="K20" s="51" t="s">
        <v>33</v>
      </c>
      <c r="L20" s="51"/>
      <c r="M20" s="75" t="e">
        <f>ROUND(#REF!+(#REF!*3/100),2)</f>
        <v>#REF!</v>
      </c>
      <c r="N20" s="63"/>
      <c r="O20" s="52" t="s">
        <v>46</v>
      </c>
      <c r="P20" s="49"/>
      <c r="Q20" s="53">
        <v>1.5</v>
      </c>
      <c r="R20" s="84">
        <f t="shared" si="1"/>
        <v>1.1300000000000001</v>
      </c>
    </row>
    <row r="21" spans="1:18" ht="20.100000000000001" customHeight="1" x14ac:dyDescent="0.15">
      <c r="A21" s="223"/>
      <c r="B21" s="63"/>
      <c r="C21" s="48"/>
      <c r="D21" s="49"/>
      <c r="E21" s="50"/>
      <c r="F21" s="51"/>
      <c r="G21" s="67"/>
      <c r="H21" s="71"/>
      <c r="I21" s="49"/>
      <c r="J21" s="51"/>
      <c r="K21" s="51"/>
      <c r="L21" s="51"/>
      <c r="M21" s="75"/>
      <c r="N21" s="63"/>
      <c r="O21" s="52" t="s">
        <v>47</v>
      </c>
      <c r="P21" s="49"/>
      <c r="Q21" s="53">
        <v>1</v>
      </c>
      <c r="R21" s="84">
        <f t="shared" si="1"/>
        <v>0.75</v>
      </c>
    </row>
    <row r="22" spans="1:18" ht="20.100000000000001" customHeight="1" x14ac:dyDescent="0.15">
      <c r="A22" s="223"/>
      <c r="B22" s="63"/>
      <c r="C22" s="48"/>
      <c r="D22" s="49"/>
      <c r="E22" s="50"/>
      <c r="F22" s="51"/>
      <c r="G22" s="67"/>
      <c r="H22" s="71"/>
      <c r="I22" s="49"/>
      <c r="J22" s="51"/>
      <c r="K22" s="51"/>
      <c r="L22" s="51"/>
      <c r="M22" s="75"/>
      <c r="N22" s="63"/>
      <c r="O22" s="52" t="s">
        <v>48</v>
      </c>
      <c r="P22" s="49" t="s">
        <v>29</v>
      </c>
      <c r="Q22" s="53">
        <v>1.5</v>
      </c>
      <c r="R22" s="84">
        <f t="shared" si="1"/>
        <v>1.1300000000000001</v>
      </c>
    </row>
    <row r="23" spans="1:18" ht="20.100000000000001" customHeight="1" x14ac:dyDescent="0.15">
      <c r="A23" s="223"/>
      <c r="B23" s="62"/>
      <c r="C23" s="42"/>
      <c r="D23" s="43"/>
      <c r="E23" s="44"/>
      <c r="F23" s="45"/>
      <c r="G23" s="66"/>
      <c r="H23" s="70"/>
      <c r="I23" s="43"/>
      <c r="J23" s="45"/>
      <c r="K23" s="45"/>
      <c r="L23" s="45"/>
      <c r="M23" s="74"/>
      <c r="N23" s="62"/>
      <c r="O23" s="46"/>
      <c r="P23" s="43"/>
      <c r="Q23" s="47"/>
      <c r="R23" s="85"/>
    </row>
    <row r="24" spans="1:18" ht="20.100000000000001" customHeight="1" x14ac:dyDescent="0.15">
      <c r="A24" s="223"/>
      <c r="B24" s="63" t="s">
        <v>147</v>
      </c>
      <c r="C24" s="48" t="s">
        <v>68</v>
      </c>
      <c r="D24" s="49" t="s">
        <v>69</v>
      </c>
      <c r="E24" s="54">
        <v>0.125</v>
      </c>
      <c r="F24" s="51" t="s">
        <v>57</v>
      </c>
      <c r="G24" s="67"/>
      <c r="H24" s="71" t="s">
        <v>68</v>
      </c>
      <c r="I24" s="49" t="s">
        <v>69</v>
      </c>
      <c r="J24" s="51">
        <f>ROUNDUP(E24*0.75,2)</f>
        <v>9.9999999999999992E-2</v>
      </c>
      <c r="K24" s="51" t="s">
        <v>57</v>
      </c>
      <c r="L24" s="51"/>
      <c r="M24" s="75" t="e">
        <f>#REF!</f>
        <v>#REF!</v>
      </c>
      <c r="N24" s="63" t="s">
        <v>39</v>
      </c>
      <c r="O24" s="52" t="s">
        <v>45</v>
      </c>
      <c r="P24" s="49"/>
      <c r="Q24" s="53">
        <v>100</v>
      </c>
      <c r="R24" s="84">
        <f>ROUNDUP(Q24*0.75,2)</f>
        <v>75</v>
      </c>
    </row>
    <row r="25" spans="1:18" ht="20.100000000000001" customHeight="1" x14ac:dyDescent="0.15">
      <c r="A25" s="223"/>
      <c r="B25" s="63"/>
      <c r="C25" s="48" t="s">
        <v>123</v>
      </c>
      <c r="D25" s="49"/>
      <c r="E25" s="50">
        <v>3</v>
      </c>
      <c r="F25" s="51" t="s">
        <v>33</v>
      </c>
      <c r="G25" s="67"/>
      <c r="H25" s="71" t="s">
        <v>123</v>
      </c>
      <c r="I25" s="49"/>
      <c r="J25" s="51">
        <f>ROUNDUP(E25*0.75,2)</f>
        <v>2.25</v>
      </c>
      <c r="K25" s="51" t="s">
        <v>33</v>
      </c>
      <c r="L25" s="51"/>
      <c r="M25" s="75" t="e">
        <f>ROUND(#REF!+(#REF!*40/100),2)</f>
        <v>#REF!</v>
      </c>
      <c r="N25" s="63"/>
      <c r="O25" s="52" t="s">
        <v>27</v>
      </c>
      <c r="P25" s="49"/>
      <c r="Q25" s="53">
        <v>0.1</v>
      </c>
      <c r="R25" s="84">
        <f>ROUNDUP(Q25*0.75,2)</f>
        <v>0.08</v>
      </c>
    </row>
    <row r="26" spans="1:18" ht="20.100000000000001" customHeight="1" x14ac:dyDescent="0.15">
      <c r="A26" s="223"/>
      <c r="B26" s="63"/>
      <c r="C26" s="48"/>
      <c r="D26" s="49"/>
      <c r="E26" s="50"/>
      <c r="F26" s="51"/>
      <c r="G26" s="67"/>
      <c r="H26" s="71"/>
      <c r="I26" s="49"/>
      <c r="J26" s="51"/>
      <c r="K26" s="51"/>
      <c r="L26" s="51"/>
      <c r="M26" s="75"/>
      <c r="N26" s="63"/>
      <c r="O26" s="52" t="s">
        <v>48</v>
      </c>
      <c r="P26" s="49" t="s">
        <v>29</v>
      </c>
      <c r="Q26" s="53">
        <v>0.5</v>
      </c>
      <c r="R26" s="84">
        <f>ROUNDUP(Q26*0.75,2)</f>
        <v>0.38</v>
      </c>
    </row>
    <row r="27" spans="1:18" ht="20.100000000000001" customHeight="1" x14ac:dyDescent="0.15">
      <c r="A27" s="223"/>
      <c r="B27" s="62"/>
      <c r="C27" s="42"/>
      <c r="D27" s="43"/>
      <c r="E27" s="44"/>
      <c r="F27" s="45"/>
      <c r="G27" s="66"/>
      <c r="H27" s="70"/>
      <c r="I27" s="43"/>
      <c r="J27" s="45"/>
      <c r="K27" s="45"/>
      <c r="L27" s="45"/>
      <c r="M27" s="74"/>
      <c r="N27" s="62"/>
      <c r="O27" s="46"/>
      <c r="P27" s="43"/>
      <c r="Q27" s="47"/>
      <c r="R27" s="85"/>
    </row>
    <row r="28" spans="1:18" ht="20.100000000000001" customHeight="1" x14ac:dyDescent="0.15">
      <c r="A28" s="223"/>
      <c r="B28" s="63" t="s">
        <v>124</v>
      </c>
      <c r="C28" s="48" t="s">
        <v>125</v>
      </c>
      <c r="D28" s="49"/>
      <c r="E28" s="78">
        <v>0.16666666666666666</v>
      </c>
      <c r="F28" s="51" t="s">
        <v>57</v>
      </c>
      <c r="G28" s="67"/>
      <c r="H28" s="71" t="s">
        <v>125</v>
      </c>
      <c r="I28" s="49"/>
      <c r="J28" s="51">
        <f>ROUNDUP(E28*0.75,2)</f>
        <v>0.13</v>
      </c>
      <c r="K28" s="51" t="s">
        <v>57</v>
      </c>
      <c r="L28" s="51"/>
      <c r="M28" s="75" t="e">
        <f>#REF!</f>
        <v>#REF!</v>
      </c>
      <c r="N28" s="63" t="s">
        <v>315</v>
      </c>
      <c r="O28" s="52"/>
      <c r="P28" s="49"/>
      <c r="Q28" s="53"/>
      <c r="R28" s="84"/>
    </row>
    <row r="29" spans="1:18" ht="20.100000000000001" customHeight="1" thickBot="1" x14ac:dyDescent="0.2">
      <c r="A29" s="224"/>
      <c r="B29" s="64"/>
      <c r="C29" s="55"/>
      <c r="D29" s="56"/>
      <c r="E29" s="57"/>
      <c r="F29" s="58"/>
      <c r="G29" s="68"/>
      <c r="H29" s="72"/>
      <c r="I29" s="56"/>
      <c r="J29" s="58"/>
      <c r="K29" s="58"/>
      <c r="L29" s="58"/>
      <c r="M29" s="76"/>
      <c r="N29" s="64"/>
      <c r="O29" s="59"/>
      <c r="P29" s="56"/>
      <c r="Q29" s="60"/>
      <c r="R29" s="86"/>
    </row>
  </sheetData>
  <mergeCells count="4">
    <mergeCell ref="H1:N1"/>
    <mergeCell ref="A2:R2"/>
    <mergeCell ref="A3:F3"/>
    <mergeCell ref="A5:A29"/>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269</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210</v>
      </c>
      <c r="C5" s="36" t="s">
        <v>165</v>
      </c>
      <c r="D5" s="37" t="s">
        <v>29</v>
      </c>
      <c r="E5" s="38">
        <v>40</v>
      </c>
      <c r="F5" s="39" t="s">
        <v>33</v>
      </c>
      <c r="G5" s="65" t="s">
        <v>166</v>
      </c>
      <c r="H5" s="69" t="s">
        <v>165</v>
      </c>
      <c r="I5" s="37" t="s">
        <v>29</v>
      </c>
      <c r="J5" s="39">
        <f>ROUNDUP(E5*0.75,2)</f>
        <v>30</v>
      </c>
      <c r="K5" s="39" t="s">
        <v>33</v>
      </c>
      <c r="L5" s="39" t="s">
        <v>166</v>
      </c>
      <c r="M5" s="73" t="e">
        <f>#REF!</f>
        <v>#REF!</v>
      </c>
      <c r="N5" s="61" t="s">
        <v>211</v>
      </c>
      <c r="O5" s="40" t="s">
        <v>63</v>
      </c>
      <c r="P5" s="37" t="s">
        <v>60</v>
      </c>
      <c r="Q5" s="41">
        <v>2</v>
      </c>
      <c r="R5" s="83">
        <f>ROUNDUP(Q5*0.75,2)</f>
        <v>1.5</v>
      </c>
    </row>
    <row r="6" spans="1:19" ht="24.95" customHeight="1" x14ac:dyDescent="0.15">
      <c r="A6" s="223"/>
      <c r="B6" s="63"/>
      <c r="C6" s="48" t="s">
        <v>70</v>
      </c>
      <c r="D6" s="49"/>
      <c r="E6" s="50">
        <v>20</v>
      </c>
      <c r="F6" s="51" t="s">
        <v>33</v>
      </c>
      <c r="G6" s="67" t="s">
        <v>71</v>
      </c>
      <c r="H6" s="71" t="s">
        <v>70</v>
      </c>
      <c r="I6" s="49"/>
      <c r="J6" s="51">
        <f>ROUNDUP(E6*0.75,2)</f>
        <v>15</v>
      </c>
      <c r="K6" s="51" t="s">
        <v>33</v>
      </c>
      <c r="L6" s="51" t="s">
        <v>71</v>
      </c>
      <c r="M6" s="75" t="e">
        <f>#REF!</f>
        <v>#REF!</v>
      </c>
      <c r="N6" s="63" t="s">
        <v>212</v>
      </c>
      <c r="O6" s="52" t="s">
        <v>30</v>
      </c>
      <c r="P6" s="49"/>
      <c r="Q6" s="53">
        <v>2</v>
      </c>
      <c r="R6" s="84">
        <f>ROUNDUP(Q6*0.75,2)</f>
        <v>1.5</v>
      </c>
    </row>
    <row r="7" spans="1:19" ht="24.95" customHeight="1" x14ac:dyDescent="0.15">
      <c r="A7" s="223"/>
      <c r="B7" s="63"/>
      <c r="C7" s="48" t="s">
        <v>50</v>
      </c>
      <c r="D7" s="49"/>
      <c r="E7" s="50">
        <v>30</v>
      </c>
      <c r="F7" s="51" t="s">
        <v>33</v>
      </c>
      <c r="G7" s="67"/>
      <c r="H7" s="71" t="s">
        <v>50</v>
      </c>
      <c r="I7" s="49"/>
      <c r="J7" s="51">
        <f>ROUNDUP(E7*0.75,2)</f>
        <v>22.5</v>
      </c>
      <c r="K7" s="51" t="s">
        <v>33</v>
      </c>
      <c r="L7" s="51"/>
      <c r="M7" s="75" t="e">
        <f>ROUND(#REF!+(#REF!*6/100),2)</f>
        <v>#REF!</v>
      </c>
      <c r="N7" s="63" t="s">
        <v>213</v>
      </c>
      <c r="O7" s="52" t="s">
        <v>118</v>
      </c>
      <c r="P7" s="49"/>
      <c r="Q7" s="53">
        <v>10</v>
      </c>
      <c r="R7" s="84">
        <f>ROUNDUP(Q7*0.75,2)</f>
        <v>7.5</v>
      </c>
    </row>
    <row r="8" spans="1:19" ht="24.95" customHeight="1" x14ac:dyDescent="0.15">
      <c r="A8" s="223"/>
      <c r="B8" s="63"/>
      <c r="C8" s="48" t="s">
        <v>41</v>
      </c>
      <c r="D8" s="49"/>
      <c r="E8" s="50">
        <v>5</v>
      </c>
      <c r="F8" s="51" t="s">
        <v>33</v>
      </c>
      <c r="G8" s="67"/>
      <c r="H8" s="71" t="s">
        <v>41</v>
      </c>
      <c r="I8" s="49"/>
      <c r="J8" s="51">
        <f>ROUNDUP(E8*0.75,2)</f>
        <v>3.75</v>
      </c>
      <c r="K8" s="51" t="s">
        <v>33</v>
      </c>
      <c r="L8" s="51"/>
      <c r="M8" s="75" t="e">
        <f>ROUND(#REF!+(#REF!*3/100),2)</f>
        <v>#REF!</v>
      </c>
      <c r="N8" s="63" t="s">
        <v>39</v>
      </c>
      <c r="O8" s="52" t="s">
        <v>119</v>
      </c>
      <c r="P8" s="49"/>
      <c r="Q8" s="53">
        <v>2</v>
      </c>
      <c r="R8" s="84">
        <f>ROUNDUP(Q8*0.75,2)</f>
        <v>1.5</v>
      </c>
    </row>
    <row r="9" spans="1:19" ht="24.95" customHeight="1" x14ac:dyDescent="0.15">
      <c r="A9" s="223"/>
      <c r="B9" s="63"/>
      <c r="C9" s="48" t="s">
        <v>34</v>
      </c>
      <c r="D9" s="49"/>
      <c r="E9" s="50">
        <v>0.5</v>
      </c>
      <c r="F9" s="51" t="s">
        <v>33</v>
      </c>
      <c r="G9" s="67"/>
      <c r="H9" s="71" t="s">
        <v>34</v>
      </c>
      <c r="I9" s="49"/>
      <c r="J9" s="51">
        <f>ROUNDUP(E9*0.75,2)</f>
        <v>0.38</v>
      </c>
      <c r="K9" s="51" t="s">
        <v>33</v>
      </c>
      <c r="L9" s="51"/>
      <c r="M9" s="75" t="e">
        <f>ROUND(#REF!+(#REF!*10/100),2)</f>
        <v>#REF!</v>
      </c>
      <c r="N9" s="63"/>
      <c r="O9" s="52" t="s">
        <v>46</v>
      </c>
      <c r="P9" s="49"/>
      <c r="Q9" s="53">
        <v>0.5</v>
      </c>
      <c r="R9" s="84">
        <f>ROUNDUP(Q9*0.75,2)</f>
        <v>0.38</v>
      </c>
    </row>
    <row r="10" spans="1:19" ht="24.95" customHeight="1" x14ac:dyDescent="0.15">
      <c r="A10" s="223"/>
      <c r="B10" s="62"/>
      <c r="C10" s="42"/>
      <c r="D10" s="43"/>
      <c r="E10" s="44"/>
      <c r="F10" s="45"/>
      <c r="G10" s="66"/>
      <c r="H10" s="70"/>
      <c r="I10" s="43"/>
      <c r="J10" s="45"/>
      <c r="K10" s="45"/>
      <c r="L10" s="45"/>
      <c r="M10" s="74"/>
      <c r="N10" s="62"/>
      <c r="O10" s="46"/>
      <c r="P10" s="43"/>
      <c r="Q10" s="47"/>
      <c r="R10" s="85"/>
    </row>
    <row r="11" spans="1:19" ht="24.95" customHeight="1" x14ac:dyDescent="0.15">
      <c r="A11" s="223"/>
      <c r="B11" s="63" t="s">
        <v>270</v>
      </c>
      <c r="C11" s="48" t="s">
        <v>170</v>
      </c>
      <c r="D11" s="49"/>
      <c r="E11" s="50">
        <v>20</v>
      </c>
      <c r="F11" s="51" t="s">
        <v>33</v>
      </c>
      <c r="G11" s="67"/>
      <c r="H11" s="71" t="s">
        <v>170</v>
      </c>
      <c r="I11" s="49"/>
      <c r="J11" s="51">
        <f>ROUNDUP(E11*0.75,2)</f>
        <v>15</v>
      </c>
      <c r="K11" s="51" t="s">
        <v>33</v>
      </c>
      <c r="L11" s="51"/>
      <c r="M11" s="75" t="e">
        <f>ROUND(#REF!+(#REF!*10/100),2)</f>
        <v>#REF!</v>
      </c>
      <c r="N11" s="63" t="s">
        <v>271</v>
      </c>
      <c r="O11" s="52" t="s">
        <v>46</v>
      </c>
      <c r="P11" s="49"/>
      <c r="Q11" s="53">
        <v>0.3</v>
      </c>
      <c r="R11" s="84">
        <f>ROUNDUP(Q11*0.75,2)</f>
        <v>0.23</v>
      </c>
    </row>
    <row r="12" spans="1:19" ht="24.95" customHeight="1" x14ac:dyDescent="0.15">
      <c r="A12" s="223"/>
      <c r="B12" s="63"/>
      <c r="C12" s="48" t="s">
        <v>139</v>
      </c>
      <c r="D12" s="49"/>
      <c r="E12" s="50">
        <v>10</v>
      </c>
      <c r="F12" s="51" t="s">
        <v>33</v>
      </c>
      <c r="G12" s="67"/>
      <c r="H12" s="71" t="s">
        <v>139</v>
      </c>
      <c r="I12" s="49"/>
      <c r="J12" s="51">
        <f>ROUNDUP(E12*0.75,2)</f>
        <v>7.5</v>
      </c>
      <c r="K12" s="51" t="s">
        <v>33</v>
      </c>
      <c r="L12" s="51"/>
      <c r="M12" s="75" t="e">
        <f>ROUND(#REF!+(#REF!*2/100),2)</f>
        <v>#REF!</v>
      </c>
      <c r="N12" s="63" t="s">
        <v>120</v>
      </c>
      <c r="O12" s="52" t="s">
        <v>48</v>
      </c>
      <c r="P12" s="49" t="s">
        <v>29</v>
      </c>
      <c r="Q12" s="53">
        <v>0.5</v>
      </c>
      <c r="R12" s="84">
        <f>ROUNDUP(Q12*0.75,2)</f>
        <v>0.38</v>
      </c>
    </row>
    <row r="13" spans="1:19" ht="24.95" customHeight="1" x14ac:dyDescent="0.15">
      <c r="A13" s="223"/>
      <c r="B13" s="63"/>
      <c r="C13" s="48"/>
      <c r="D13" s="49"/>
      <c r="E13" s="50"/>
      <c r="F13" s="51"/>
      <c r="G13" s="67"/>
      <c r="H13" s="71"/>
      <c r="I13" s="49"/>
      <c r="J13" s="51"/>
      <c r="K13" s="51"/>
      <c r="L13" s="51"/>
      <c r="M13" s="75"/>
      <c r="N13" s="63" t="s">
        <v>21</v>
      </c>
      <c r="O13" s="52" t="s">
        <v>25</v>
      </c>
      <c r="P13" s="49" t="s">
        <v>26</v>
      </c>
      <c r="Q13" s="53">
        <v>4</v>
      </c>
      <c r="R13" s="84">
        <f>ROUNDUP(Q13*0.75,2)</f>
        <v>3</v>
      </c>
    </row>
    <row r="14" spans="1:19" ht="24.95" customHeight="1" x14ac:dyDescent="0.15">
      <c r="A14" s="223"/>
      <c r="B14" s="63"/>
      <c r="C14" s="48"/>
      <c r="D14" s="49"/>
      <c r="E14" s="50"/>
      <c r="F14" s="51"/>
      <c r="G14" s="67"/>
      <c r="H14" s="71"/>
      <c r="I14" s="49"/>
      <c r="J14" s="51"/>
      <c r="K14" s="51"/>
      <c r="L14" s="51"/>
      <c r="M14" s="75"/>
      <c r="N14" s="63"/>
      <c r="O14" s="52"/>
      <c r="P14" s="49"/>
      <c r="Q14" s="53"/>
      <c r="R14" s="84"/>
    </row>
    <row r="15" spans="1:19" ht="24.95" customHeight="1" x14ac:dyDescent="0.15">
      <c r="A15" s="223"/>
      <c r="B15" s="62"/>
      <c r="C15" s="42"/>
      <c r="D15" s="43"/>
      <c r="E15" s="44"/>
      <c r="F15" s="45"/>
      <c r="G15" s="66"/>
      <c r="H15" s="70"/>
      <c r="I15" s="43"/>
      <c r="J15" s="45"/>
      <c r="K15" s="45"/>
      <c r="L15" s="45"/>
      <c r="M15" s="74"/>
      <c r="N15" s="62"/>
      <c r="O15" s="46"/>
      <c r="P15" s="43"/>
      <c r="Q15" s="47"/>
      <c r="R15" s="85"/>
    </row>
    <row r="16" spans="1:19" ht="24.95" customHeight="1" x14ac:dyDescent="0.15">
      <c r="A16" s="223"/>
      <c r="B16" s="63" t="s">
        <v>217</v>
      </c>
      <c r="C16" s="48" t="s">
        <v>62</v>
      </c>
      <c r="D16" s="49"/>
      <c r="E16" s="50">
        <v>20</v>
      </c>
      <c r="F16" s="51" t="s">
        <v>33</v>
      </c>
      <c r="G16" s="67"/>
      <c r="H16" s="71" t="s">
        <v>62</v>
      </c>
      <c r="I16" s="49"/>
      <c r="J16" s="51">
        <f>ROUNDUP(E16*0.75,2)</f>
        <v>15</v>
      </c>
      <c r="K16" s="51" t="s">
        <v>33</v>
      </c>
      <c r="L16" s="51"/>
      <c r="M16" s="75" t="e">
        <f>ROUND(#REF!+(#REF!*10/100),2)</f>
        <v>#REF!</v>
      </c>
      <c r="N16" s="63" t="s">
        <v>78</v>
      </c>
      <c r="O16" s="52" t="s">
        <v>82</v>
      </c>
      <c r="P16" s="49"/>
      <c r="Q16" s="53">
        <v>60</v>
      </c>
      <c r="R16" s="84">
        <f>ROUNDUP(Q16*0.75,2)</f>
        <v>45</v>
      </c>
    </row>
    <row r="17" spans="1:18" ht="24.95" customHeight="1" x14ac:dyDescent="0.15">
      <c r="A17" s="223"/>
      <c r="B17" s="63"/>
      <c r="C17" s="48" t="s">
        <v>31</v>
      </c>
      <c r="D17" s="49"/>
      <c r="E17" s="50">
        <v>5</v>
      </c>
      <c r="F17" s="51" t="s">
        <v>33</v>
      </c>
      <c r="G17" s="67" t="s">
        <v>32</v>
      </c>
      <c r="H17" s="71" t="s">
        <v>31</v>
      </c>
      <c r="I17" s="49"/>
      <c r="J17" s="51">
        <f>ROUNDUP(E17*0.75,2)</f>
        <v>3.75</v>
      </c>
      <c r="K17" s="51" t="s">
        <v>33</v>
      </c>
      <c r="L17" s="51" t="s">
        <v>32</v>
      </c>
      <c r="M17" s="75" t="e">
        <f>#REF!</f>
        <v>#REF!</v>
      </c>
      <c r="N17" s="63" t="s">
        <v>289</v>
      </c>
      <c r="O17" s="52" t="s">
        <v>83</v>
      </c>
      <c r="P17" s="49" t="s">
        <v>84</v>
      </c>
      <c r="Q17" s="53">
        <v>0.5</v>
      </c>
      <c r="R17" s="84">
        <f>ROUNDUP(Q17*0.75,2)</f>
        <v>0.38</v>
      </c>
    </row>
    <row r="18" spans="1:18" ht="24.95" customHeight="1" x14ac:dyDescent="0.15">
      <c r="A18" s="223"/>
      <c r="B18" s="63"/>
      <c r="C18" s="48" t="s">
        <v>59</v>
      </c>
      <c r="D18" s="49" t="s">
        <v>60</v>
      </c>
      <c r="E18" s="50">
        <v>40</v>
      </c>
      <c r="F18" s="51" t="s">
        <v>61</v>
      </c>
      <c r="G18" s="67" t="s">
        <v>43</v>
      </c>
      <c r="H18" s="71" t="s">
        <v>59</v>
      </c>
      <c r="I18" s="49" t="s">
        <v>60</v>
      </c>
      <c r="J18" s="51">
        <f>ROUNDUP(E18*0.75,2)</f>
        <v>30</v>
      </c>
      <c r="K18" s="51" t="s">
        <v>61</v>
      </c>
      <c r="L18" s="51" t="s">
        <v>43</v>
      </c>
      <c r="M18" s="75" t="e">
        <f>#REF!</f>
        <v>#REF!</v>
      </c>
      <c r="N18" s="63" t="s">
        <v>290</v>
      </c>
      <c r="O18" s="52" t="s">
        <v>27</v>
      </c>
      <c r="P18" s="49"/>
      <c r="Q18" s="53">
        <v>0.1</v>
      </c>
      <c r="R18" s="84">
        <f>ROUNDUP(Q18*0.75,2)</f>
        <v>0.08</v>
      </c>
    </row>
    <row r="19" spans="1:18" ht="24.95" customHeight="1" x14ac:dyDescent="0.15">
      <c r="A19" s="223"/>
      <c r="B19" s="63"/>
      <c r="C19" s="48"/>
      <c r="D19" s="49"/>
      <c r="E19" s="50"/>
      <c r="F19" s="51"/>
      <c r="G19" s="67"/>
      <c r="H19" s="71"/>
      <c r="I19" s="49"/>
      <c r="J19" s="51"/>
      <c r="K19" s="51"/>
      <c r="L19" s="51"/>
      <c r="M19" s="75"/>
      <c r="N19" s="63" t="s">
        <v>79</v>
      </c>
      <c r="O19" s="52" t="s">
        <v>63</v>
      </c>
      <c r="P19" s="49" t="s">
        <v>60</v>
      </c>
      <c r="Q19" s="53">
        <v>1</v>
      </c>
      <c r="R19" s="84">
        <f>ROUNDUP(Q19*0.75,2)</f>
        <v>0.75</v>
      </c>
    </row>
    <row r="20" spans="1:18" ht="24.95" customHeight="1" x14ac:dyDescent="0.15">
      <c r="A20" s="223"/>
      <c r="B20" s="63"/>
      <c r="C20" s="48"/>
      <c r="D20" s="49"/>
      <c r="E20" s="50"/>
      <c r="F20" s="51"/>
      <c r="G20" s="67"/>
      <c r="H20" s="71"/>
      <c r="I20" s="49"/>
      <c r="J20" s="51"/>
      <c r="K20" s="51"/>
      <c r="L20" s="51"/>
      <c r="M20" s="75"/>
      <c r="N20" s="63" t="s">
        <v>39</v>
      </c>
      <c r="O20" s="52" t="s">
        <v>85</v>
      </c>
      <c r="P20" s="49"/>
      <c r="Q20" s="53">
        <v>1</v>
      </c>
      <c r="R20" s="84">
        <f>ROUNDUP(Q20*0.75,2)</f>
        <v>0.75</v>
      </c>
    </row>
    <row r="21" spans="1:18" ht="24.95" customHeight="1" thickBot="1" x14ac:dyDescent="0.2">
      <c r="A21" s="224"/>
      <c r="B21" s="64"/>
      <c r="C21" s="55"/>
      <c r="D21" s="56"/>
      <c r="E21" s="57"/>
      <c r="F21" s="58"/>
      <c r="G21" s="68"/>
      <c r="H21" s="72"/>
      <c r="I21" s="56"/>
      <c r="J21" s="58"/>
      <c r="K21" s="58"/>
      <c r="L21" s="58"/>
      <c r="M21" s="76"/>
      <c r="N21" s="64"/>
      <c r="O21" s="59"/>
      <c r="P21" s="56"/>
      <c r="Q21" s="60"/>
      <c r="R21" s="86"/>
    </row>
    <row r="22" spans="1:18" ht="24.95" customHeight="1" x14ac:dyDescent="0.15"/>
    <row r="23" spans="1:18" ht="24.95" customHeight="1" x14ac:dyDescent="0.15"/>
    <row r="24" spans="1:18" ht="24.95" customHeight="1" x14ac:dyDescent="0.15"/>
    <row r="25" spans="1:18" ht="24.95" customHeight="1" x14ac:dyDescent="0.15"/>
    <row r="26" spans="1:18" ht="24.95" customHeight="1" x14ac:dyDescent="0.15"/>
    <row r="27" spans="1:18" ht="20.100000000000001" customHeight="1" x14ac:dyDescent="0.15"/>
    <row r="28" spans="1:18" ht="20.100000000000001" customHeight="1" x14ac:dyDescent="0.15"/>
    <row r="29" spans="1:18" ht="20.100000000000001" customHeight="1" x14ac:dyDescent="0.15"/>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272</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15</v>
      </c>
      <c r="C5" s="36"/>
      <c r="D5" s="37"/>
      <c r="E5" s="38"/>
      <c r="F5" s="39"/>
      <c r="G5" s="65"/>
      <c r="H5" s="69"/>
      <c r="I5" s="37"/>
      <c r="J5" s="39"/>
      <c r="K5" s="39"/>
      <c r="L5" s="39"/>
      <c r="M5" s="73"/>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220</v>
      </c>
      <c r="C7" s="48" t="s">
        <v>180</v>
      </c>
      <c r="D7" s="49"/>
      <c r="E7" s="50">
        <v>1</v>
      </c>
      <c r="F7" s="51" t="s">
        <v>24</v>
      </c>
      <c r="G7" s="67" t="s">
        <v>181</v>
      </c>
      <c r="H7" s="71" t="s">
        <v>180</v>
      </c>
      <c r="I7" s="49"/>
      <c r="J7" s="51">
        <f>ROUNDUP(E7*0.75,2)</f>
        <v>0.75</v>
      </c>
      <c r="K7" s="51" t="s">
        <v>24</v>
      </c>
      <c r="L7" s="51" t="s">
        <v>181</v>
      </c>
      <c r="M7" s="75" t="e">
        <f>#REF!</f>
        <v>#REF!</v>
      </c>
      <c r="N7" s="63" t="s">
        <v>291</v>
      </c>
      <c r="O7" s="52" t="s">
        <v>109</v>
      </c>
      <c r="P7" s="49"/>
      <c r="Q7" s="53">
        <v>0.5</v>
      </c>
      <c r="R7" s="84">
        <f t="shared" ref="R7:R13" si="0">ROUNDUP(Q7*0.75,2)</f>
        <v>0.38</v>
      </c>
    </row>
    <row r="8" spans="1:19" ht="24.95" customHeight="1" x14ac:dyDescent="0.15">
      <c r="A8" s="223"/>
      <c r="B8" s="63"/>
      <c r="C8" s="48" t="s">
        <v>72</v>
      </c>
      <c r="D8" s="49"/>
      <c r="E8" s="50">
        <v>5</v>
      </c>
      <c r="F8" s="51" t="s">
        <v>33</v>
      </c>
      <c r="G8" s="67"/>
      <c r="H8" s="71" t="s">
        <v>72</v>
      </c>
      <c r="I8" s="49"/>
      <c r="J8" s="51">
        <f>ROUNDUP(E8*0.75,2)</f>
        <v>3.75</v>
      </c>
      <c r="K8" s="51" t="s">
        <v>33</v>
      </c>
      <c r="L8" s="51"/>
      <c r="M8" s="75" t="e">
        <f>ROUND(#REF!+(#REF!*10/100),2)</f>
        <v>#REF!</v>
      </c>
      <c r="N8" s="63" t="s">
        <v>292</v>
      </c>
      <c r="O8" s="52" t="s">
        <v>85</v>
      </c>
      <c r="P8" s="49"/>
      <c r="Q8" s="53">
        <v>3</v>
      </c>
      <c r="R8" s="84">
        <f t="shared" si="0"/>
        <v>2.25</v>
      </c>
    </row>
    <row r="9" spans="1:19" ht="24.95" customHeight="1" x14ac:dyDescent="0.15">
      <c r="A9" s="223"/>
      <c r="B9" s="63"/>
      <c r="C9" s="48" t="s">
        <v>207</v>
      </c>
      <c r="D9" s="49"/>
      <c r="E9" s="50">
        <v>5</v>
      </c>
      <c r="F9" s="51" t="s">
        <v>33</v>
      </c>
      <c r="G9" s="67"/>
      <c r="H9" s="71" t="s">
        <v>207</v>
      </c>
      <c r="I9" s="49"/>
      <c r="J9" s="51">
        <f>ROUNDUP(E9*0.75,2)</f>
        <v>3.75</v>
      </c>
      <c r="K9" s="51" t="s">
        <v>33</v>
      </c>
      <c r="L9" s="51"/>
      <c r="M9" s="75" t="e">
        <f>ROUND(#REF!+(#REF!*15/100),2)</f>
        <v>#REF!</v>
      </c>
      <c r="N9" s="63" t="s">
        <v>221</v>
      </c>
      <c r="O9" s="52" t="s">
        <v>30</v>
      </c>
      <c r="P9" s="49"/>
      <c r="Q9" s="53">
        <v>2</v>
      </c>
      <c r="R9" s="84">
        <f t="shared" si="0"/>
        <v>1.5</v>
      </c>
    </row>
    <row r="10" spans="1:19" ht="24.95" customHeight="1" x14ac:dyDescent="0.15">
      <c r="A10" s="223"/>
      <c r="B10" s="63"/>
      <c r="C10" s="48" t="s">
        <v>224</v>
      </c>
      <c r="D10" s="49"/>
      <c r="E10" s="50">
        <v>5</v>
      </c>
      <c r="F10" s="51" t="s">
        <v>33</v>
      </c>
      <c r="G10" s="67"/>
      <c r="H10" s="71" t="s">
        <v>224</v>
      </c>
      <c r="I10" s="49"/>
      <c r="J10" s="51">
        <f>ROUNDUP(E10*0.75,2)</f>
        <v>3.75</v>
      </c>
      <c r="K10" s="51" t="s">
        <v>33</v>
      </c>
      <c r="L10" s="51"/>
      <c r="M10" s="75" t="e">
        <f>ROUND(#REF!+(#REF!*15/100),2)</f>
        <v>#REF!</v>
      </c>
      <c r="N10" s="63" t="s">
        <v>222</v>
      </c>
      <c r="O10" s="52" t="s">
        <v>45</v>
      </c>
      <c r="P10" s="49"/>
      <c r="Q10" s="53">
        <v>40</v>
      </c>
      <c r="R10" s="84">
        <f t="shared" si="0"/>
        <v>30</v>
      </c>
    </row>
    <row r="11" spans="1:19" ht="24.95" customHeight="1" x14ac:dyDescent="0.15">
      <c r="A11" s="223"/>
      <c r="B11" s="63"/>
      <c r="C11" s="48"/>
      <c r="D11" s="49"/>
      <c r="E11" s="50"/>
      <c r="F11" s="51"/>
      <c r="G11" s="67"/>
      <c r="H11" s="71"/>
      <c r="I11" s="49"/>
      <c r="J11" s="51"/>
      <c r="K11" s="51"/>
      <c r="L11" s="51"/>
      <c r="M11" s="75"/>
      <c r="N11" s="63" t="s">
        <v>223</v>
      </c>
      <c r="O11" s="52" t="s">
        <v>47</v>
      </c>
      <c r="P11" s="49"/>
      <c r="Q11" s="53">
        <v>2</v>
      </c>
      <c r="R11" s="84">
        <f t="shared" si="0"/>
        <v>1.5</v>
      </c>
    </row>
    <row r="12" spans="1:19" ht="24.95" customHeight="1" x14ac:dyDescent="0.15">
      <c r="A12" s="223"/>
      <c r="B12" s="63"/>
      <c r="C12" s="48"/>
      <c r="D12" s="49"/>
      <c r="E12" s="50"/>
      <c r="F12" s="51"/>
      <c r="G12" s="67"/>
      <c r="H12" s="71"/>
      <c r="I12" s="49"/>
      <c r="J12" s="51"/>
      <c r="K12" s="51"/>
      <c r="L12" s="51"/>
      <c r="M12" s="75"/>
      <c r="N12" s="63" t="s">
        <v>39</v>
      </c>
      <c r="O12" s="52" t="s">
        <v>48</v>
      </c>
      <c r="P12" s="49" t="s">
        <v>29</v>
      </c>
      <c r="Q12" s="53">
        <v>2</v>
      </c>
      <c r="R12" s="84">
        <f t="shared" si="0"/>
        <v>1.5</v>
      </c>
    </row>
    <row r="13" spans="1:19" ht="24.95" customHeight="1" x14ac:dyDescent="0.15">
      <c r="A13" s="223"/>
      <c r="B13" s="63"/>
      <c r="C13" s="48"/>
      <c r="D13" s="49"/>
      <c r="E13" s="50"/>
      <c r="F13" s="51"/>
      <c r="G13" s="67"/>
      <c r="H13" s="71"/>
      <c r="I13" s="49"/>
      <c r="J13" s="51"/>
      <c r="K13" s="51"/>
      <c r="L13" s="51"/>
      <c r="M13" s="75"/>
      <c r="N13" s="63"/>
      <c r="O13" s="52" t="s">
        <v>85</v>
      </c>
      <c r="P13" s="49"/>
      <c r="Q13" s="53">
        <v>1</v>
      </c>
      <c r="R13" s="84">
        <f t="shared" si="0"/>
        <v>0.75</v>
      </c>
    </row>
    <row r="14" spans="1:19" ht="24.95" customHeight="1" x14ac:dyDescent="0.15">
      <c r="A14" s="223"/>
      <c r="B14" s="62"/>
      <c r="C14" s="42"/>
      <c r="D14" s="43"/>
      <c r="E14" s="44"/>
      <c r="F14" s="45"/>
      <c r="G14" s="66"/>
      <c r="H14" s="70"/>
      <c r="I14" s="43"/>
      <c r="J14" s="45"/>
      <c r="K14" s="45"/>
      <c r="L14" s="45"/>
      <c r="M14" s="74"/>
      <c r="N14" s="62"/>
      <c r="O14" s="46"/>
      <c r="P14" s="43"/>
      <c r="Q14" s="47"/>
      <c r="R14" s="85"/>
    </row>
    <row r="15" spans="1:19" ht="24.95" customHeight="1" x14ac:dyDescent="0.15">
      <c r="A15" s="223"/>
      <c r="B15" s="63" t="s">
        <v>225</v>
      </c>
      <c r="C15" s="48" t="s">
        <v>75</v>
      </c>
      <c r="D15" s="49"/>
      <c r="E15" s="50">
        <v>30</v>
      </c>
      <c r="F15" s="51" t="s">
        <v>33</v>
      </c>
      <c r="G15" s="67"/>
      <c r="H15" s="71" t="s">
        <v>75</v>
      </c>
      <c r="I15" s="49"/>
      <c r="J15" s="51">
        <f>ROUNDUP(E15*0.75,2)</f>
        <v>22.5</v>
      </c>
      <c r="K15" s="51" t="s">
        <v>33</v>
      </c>
      <c r="L15" s="51"/>
      <c r="M15" s="75" t="e">
        <f>ROUND(#REF!+(#REF!*15/100),2)</f>
        <v>#REF!</v>
      </c>
      <c r="N15" s="63" t="s">
        <v>78</v>
      </c>
      <c r="O15" s="52" t="s">
        <v>30</v>
      </c>
      <c r="P15" s="49"/>
      <c r="Q15" s="53">
        <v>1.5</v>
      </c>
      <c r="R15" s="84">
        <f>ROUNDUP(Q15*0.75,2)</f>
        <v>1.1300000000000001</v>
      </c>
    </row>
    <row r="16" spans="1:19" ht="24.95" customHeight="1" x14ac:dyDescent="0.15">
      <c r="A16" s="223"/>
      <c r="B16" s="63"/>
      <c r="C16" s="48" t="s">
        <v>41</v>
      </c>
      <c r="D16" s="49"/>
      <c r="E16" s="50">
        <v>10</v>
      </c>
      <c r="F16" s="51" t="s">
        <v>33</v>
      </c>
      <c r="G16" s="67"/>
      <c r="H16" s="71" t="s">
        <v>41</v>
      </c>
      <c r="I16" s="49"/>
      <c r="J16" s="51">
        <f>ROUNDUP(E16*0.75,2)</f>
        <v>7.5</v>
      </c>
      <c r="K16" s="51" t="s">
        <v>33</v>
      </c>
      <c r="L16" s="51"/>
      <c r="M16" s="75" t="e">
        <f>ROUND(#REF!+(#REF!*3/100),2)</f>
        <v>#REF!</v>
      </c>
      <c r="N16" s="63" t="s">
        <v>226</v>
      </c>
      <c r="O16" s="52" t="s">
        <v>45</v>
      </c>
      <c r="P16" s="49"/>
      <c r="Q16" s="53">
        <v>30</v>
      </c>
      <c r="R16" s="84">
        <f>ROUNDUP(Q16*0.75,2)</f>
        <v>22.5</v>
      </c>
    </row>
    <row r="17" spans="1:18" ht="24.95" customHeight="1" x14ac:dyDescent="0.15">
      <c r="A17" s="223"/>
      <c r="B17" s="63"/>
      <c r="C17" s="48" t="s">
        <v>42</v>
      </c>
      <c r="D17" s="49"/>
      <c r="E17" s="50">
        <v>10</v>
      </c>
      <c r="F17" s="51" t="s">
        <v>33</v>
      </c>
      <c r="G17" s="67" t="s">
        <v>43</v>
      </c>
      <c r="H17" s="71" t="s">
        <v>42</v>
      </c>
      <c r="I17" s="49"/>
      <c r="J17" s="51">
        <f>ROUNDUP(E17*0.75,2)</f>
        <v>7.5</v>
      </c>
      <c r="K17" s="51" t="s">
        <v>33</v>
      </c>
      <c r="L17" s="51" t="s">
        <v>43</v>
      </c>
      <c r="M17" s="75" t="e">
        <f>#REF!</f>
        <v>#REF!</v>
      </c>
      <c r="N17" s="63" t="s">
        <v>21</v>
      </c>
      <c r="O17" s="52" t="s">
        <v>46</v>
      </c>
      <c r="P17" s="49"/>
      <c r="Q17" s="53">
        <v>1</v>
      </c>
      <c r="R17" s="84">
        <f>ROUNDUP(Q17*0.75,2)</f>
        <v>0.75</v>
      </c>
    </row>
    <row r="18" spans="1:18" ht="24.95" customHeight="1" x14ac:dyDescent="0.15">
      <c r="A18" s="223"/>
      <c r="B18" s="63"/>
      <c r="C18" s="48"/>
      <c r="D18" s="49"/>
      <c r="E18" s="50"/>
      <c r="F18" s="51"/>
      <c r="G18" s="67"/>
      <c r="H18" s="71"/>
      <c r="I18" s="49"/>
      <c r="J18" s="51"/>
      <c r="K18" s="51"/>
      <c r="L18" s="51"/>
      <c r="M18" s="75"/>
      <c r="N18" s="63"/>
      <c r="O18" s="52" t="s">
        <v>47</v>
      </c>
      <c r="P18" s="49"/>
      <c r="Q18" s="53">
        <v>2</v>
      </c>
      <c r="R18" s="84">
        <f>ROUNDUP(Q18*0.75,2)</f>
        <v>1.5</v>
      </c>
    </row>
    <row r="19" spans="1:18" ht="24.95" customHeight="1" x14ac:dyDescent="0.15">
      <c r="A19" s="223"/>
      <c r="B19" s="63"/>
      <c r="C19" s="48"/>
      <c r="D19" s="49"/>
      <c r="E19" s="50"/>
      <c r="F19" s="51"/>
      <c r="G19" s="67"/>
      <c r="H19" s="71"/>
      <c r="I19" s="49"/>
      <c r="J19" s="51"/>
      <c r="K19" s="51"/>
      <c r="L19" s="51"/>
      <c r="M19" s="75"/>
      <c r="N19" s="63"/>
      <c r="O19" s="52" t="s">
        <v>48</v>
      </c>
      <c r="P19" s="49" t="s">
        <v>29</v>
      </c>
      <c r="Q19" s="53">
        <v>1.5</v>
      </c>
      <c r="R19" s="84">
        <f>ROUNDUP(Q19*0.75,2)</f>
        <v>1.1300000000000001</v>
      </c>
    </row>
    <row r="20" spans="1:18" ht="24.95" customHeight="1" x14ac:dyDescent="0.15">
      <c r="A20" s="223"/>
      <c r="B20" s="62"/>
      <c r="C20" s="42"/>
      <c r="D20" s="43"/>
      <c r="E20" s="44"/>
      <c r="F20" s="45"/>
      <c r="G20" s="66"/>
      <c r="H20" s="70"/>
      <c r="I20" s="43"/>
      <c r="J20" s="45"/>
      <c r="K20" s="45"/>
      <c r="L20" s="45"/>
      <c r="M20" s="74"/>
      <c r="N20" s="62"/>
      <c r="O20" s="46"/>
      <c r="P20" s="43"/>
      <c r="Q20" s="47"/>
      <c r="R20" s="85"/>
    </row>
    <row r="21" spans="1:18" ht="24.95" customHeight="1" x14ac:dyDescent="0.15">
      <c r="A21" s="223"/>
      <c r="B21" s="63" t="s">
        <v>147</v>
      </c>
      <c r="C21" s="48" t="s">
        <v>97</v>
      </c>
      <c r="D21" s="49"/>
      <c r="E21" s="50">
        <v>20</v>
      </c>
      <c r="F21" s="51" t="s">
        <v>33</v>
      </c>
      <c r="G21" s="67"/>
      <c r="H21" s="71" t="s">
        <v>97</v>
      </c>
      <c r="I21" s="49"/>
      <c r="J21" s="51">
        <f>ROUNDUP(E21*0.75,2)</f>
        <v>15</v>
      </c>
      <c r="K21" s="51" t="s">
        <v>33</v>
      </c>
      <c r="L21" s="51"/>
      <c r="M21" s="75" t="e">
        <f>ROUND(#REF!+(#REF!*10/100),2)</f>
        <v>#REF!</v>
      </c>
      <c r="N21" s="63" t="s">
        <v>39</v>
      </c>
      <c r="O21" s="52" t="s">
        <v>45</v>
      </c>
      <c r="P21" s="49"/>
      <c r="Q21" s="53">
        <v>100</v>
      </c>
      <c r="R21" s="84">
        <f>ROUNDUP(Q21*0.75,2)</f>
        <v>75</v>
      </c>
    </row>
    <row r="22" spans="1:18" ht="24.95" customHeight="1" x14ac:dyDescent="0.15">
      <c r="A22" s="223"/>
      <c r="B22" s="63"/>
      <c r="C22" s="48" t="s">
        <v>68</v>
      </c>
      <c r="D22" s="49" t="s">
        <v>69</v>
      </c>
      <c r="E22" s="54">
        <v>0.125</v>
      </c>
      <c r="F22" s="51" t="s">
        <v>57</v>
      </c>
      <c r="G22" s="67"/>
      <c r="H22" s="71" t="s">
        <v>68</v>
      </c>
      <c r="I22" s="49" t="s">
        <v>69</v>
      </c>
      <c r="J22" s="51">
        <f>ROUNDUP(E22*0.75,2)</f>
        <v>9.9999999999999992E-2</v>
      </c>
      <c r="K22" s="51" t="s">
        <v>57</v>
      </c>
      <c r="L22" s="51"/>
      <c r="M22" s="75" t="e">
        <f>#REF!</f>
        <v>#REF!</v>
      </c>
      <c r="N22" s="63"/>
      <c r="O22" s="52" t="s">
        <v>27</v>
      </c>
      <c r="P22" s="49"/>
      <c r="Q22" s="53">
        <v>0.1</v>
      </c>
      <c r="R22" s="84">
        <f>ROUNDUP(Q22*0.75,2)</f>
        <v>0.08</v>
      </c>
    </row>
    <row r="23" spans="1:18" ht="24.95" customHeight="1" x14ac:dyDescent="0.15">
      <c r="A23" s="223"/>
      <c r="B23" s="63"/>
      <c r="C23" s="48"/>
      <c r="D23" s="49"/>
      <c r="E23" s="50"/>
      <c r="F23" s="51"/>
      <c r="G23" s="67"/>
      <c r="H23" s="71"/>
      <c r="I23" s="49"/>
      <c r="J23" s="51"/>
      <c r="K23" s="51"/>
      <c r="L23" s="51"/>
      <c r="M23" s="75"/>
      <c r="N23" s="63"/>
      <c r="O23" s="52" t="s">
        <v>48</v>
      </c>
      <c r="P23" s="49" t="s">
        <v>29</v>
      </c>
      <c r="Q23" s="53">
        <v>0.5</v>
      </c>
      <c r="R23" s="84">
        <f>ROUNDUP(Q23*0.75,2)</f>
        <v>0.38</v>
      </c>
    </row>
    <row r="24" spans="1:18" ht="24.95" customHeight="1" x14ac:dyDescent="0.15">
      <c r="A24" s="223"/>
      <c r="B24" s="62"/>
      <c r="C24" s="42"/>
      <c r="D24" s="43"/>
      <c r="E24" s="44"/>
      <c r="F24" s="45"/>
      <c r="G24" s="66"/>
      <c r="H24" s="70"/>
      <c r="I24" s="43"/>
      <c r="J24" s="45"/>
      <c r="K24" s="45"/>
      <c r="L24" s="45"/>
      <c r="M24" s="74"/>
      <c r="N24" s="62"/>
      <c r="O24" s="46"/>
      <c r="P24" s="43"/>
      <c r="Q24" s="47"/>
      <c r="R24" s="85"/>
    </row>
    <row r="25" spans="1:18" ht="24.95" customHeight="1" x14ac:dyDescent="0.15">
      <c r="A25" s="223"/>
      <c r="B25" s="63" t="s">
        <v>124</v>
      </c>
      <c r="C25" s="48" t="s">
        <v>125</v>
      </c>
      <c r="D25" s="49"/>
      <c r="E25" s="78">
        <v>0.16666666666666666</v>
      </c>
      <c r="F25" s="51" t="s">
        <v>57</v>
      </c>
      <c r="G25" s="67"/>
      <c r="H25" s="71" t="s">
        <v>125</v>
      </c>
      <c r="I25" s="49"/>
      <c r="J25" s="51">
        <f>ROUNDUP(E25*0.75,2)</f>
        <v>0.13</v>
      </c>
      <c r="K25" s="51" t="s">
        <v>57</v>
      </c>
      <c r="L25" s="51"/>
      <c r="M25" s="75" t="e">
        <f>#REF!</f>
        <v>#REF!</v>
      </c>
      <c r="N25" s="63" t="s">
        <v>315</v>
      </c>
      <c r="O25" s="52"/>
      <c r="P25" s="49"/>
      <c r="Q25" s="53"/>
      <c r="R25" s="84"/>
    </row>
    <row r="26" spans="1:18" ht="24.95" customHeight="1" thickBot="1" x14ac:dyDescent="0.2">
      <c r="A26" s="224"/>
      <c r="B26" s="64"/>
      <c r="C26" s="55"/>
      <c r="D26" s="56"/>
      <c r="E26" s="57"/>
      <c r="F26" s="58"/>
      <c r="G26" s="68"/>
      <c r="H26" s="72"/>
      <c r="I26" s="56"/>
      <c r="J26" s="58"/>
      <c r="K26" s="58"/>
      <c r="L26" s="58"/>
      <c r="M26" s="76"/>
      <c r="N26" s="64"/>
      <c r="O26" s="59"/>
      <c r="P26" s="56"/>
      <c r="Q26" s="60"/>
      <c r="R26" s="86"/>
    </row>
    <row r="27" spans="1:18" ht="20.100000000000001" customHeight="1" x14ac:dyDescent="0.15"/>
    <row r="28" spans="1:18" ht="20.100000000000001" customHeight="1" x14ac:dyDescent="0.15"/>
    <row r="29" spans="1:18" ht="20.100000000000001" customHeight="1" x14ac:dyDescent="0.15"/>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273</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167</v>
      </c>
      <c r="C5" s="36" t="s">
        <v>168</v>
      </c>
      <c r="D5" s="37" t="s">
        <v>169</v>
      </c>
      <c r="E5" s="81">
        <v>0.5</v>
      </c>
      <c r="F5" s="39" t="s">
        <v>114</v>
      </c>
      <c r="G5" s="65" t="s">
        <v>43</v>
      </c>
      <c r="H5" s="69" t="s">
        <v>168</v>
      </c>
      <c r="I5" s="37" t="s">
        <v>169</v>
      </c>
      <c r="J5" s="39">
        <f>ROUNDUP(E5*0.75,2)</f>
        <v>0.38</v>
      </c>
      <c r="K5" s="39" t="s">
        <v>114</v>
      </c>
      <c r="L5" s="39" t="s">
        <v>43</v>
      </c>
      <c r="M5" s="73" t="e">
        <f>#REF!</f>
        <v>#REF!</v>
      </c>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229</v>
      </c>
      <c r="C7" s="48" t="s">
        <v>218</v>
      </c>
      <c r="D7" s="49"/>
      <c r="E7" s="50">
        <v>40</v>
      </c>
      <c r="F7" s="51" t="s">
        <v>33</v>
      </c>
      <c r="G7" s="67" t="s">
        <v>71</v>
      </c>
      <c r="H7" s="71" t="s">
        <v>218</v>
      </c>
      <c r="I7" s="49"/>
      <c r="J7" s="51">
        <f t="shared" ref="J7:J12" si="0">ROUNDUP(E7*0.75,2)</f>
        <v>30</v>
      </c>
      <c r="K7" s="51" t="s">
        <v>33</v>
      </c>
      <c r="L7" s="51" t="s">
        <v>71</v>
      </c>
      <c r="M7" s="75" t="e">
        <f>#REF!</f>
        <v>#REF!</v>
      </c>
      <c r="N7" s="63" t="s">
        <v>230</v>
      </c>
      <c r="O7" s="52" t="s">
        <v>30</v>
      </c>
      <c r="P7" s="49"/>
      <c r="Q7" s="53">
        <v>1</v>
      </c>
      <c r="R7" s="84">
        <f t="shared" ref="R7:R12" si="1">ROUNDUP(Q7*0.75,2)</f>
        <v>0.75</v>
      </c>
    </row>
    <row r="8" spans="1:19" ht="24.95" customHeight="1" x14ac:dyDescent="0.15">
      <c r="A8" s="223"/>
      <c r="B8" s="63"/>
      <c r="C8" s="48" t="s">
        <v>50</v>
      </c>
      <c r="D8" s="49"/>
      <c r="E8" s="50">
        <v>20</v>
      </c>
      <c r="F8" s="51" t="s">
        <v>33</v>
      </c>
      <c r="G8" s="67"/>
      <c r="H8" s="71" t="s">
        <v>50</v>
      </c>
      <c r="I8" s="49"/>
      <c r="J8" s="51">
        <f t="shared" si="0"/>
        <v>15</v>
      </c>
      <c r="K8" s="51" t="s">
        <v>33</v>
      </c>
      <c r="L8" s="51"/>
      <c r="M8" s="75" t="e">
        <f>ROUND(#REF!+(#REF!*6/100),2)</f>
        <v>#REF!</v>
      </c>
      <c r="N8" s="63" t="s">
        <v>231</v>
      </c>
      <c r="O8" s="52" t="s">
        <v>27</v>
      </c>
      <c r="P8" s="49"/>
      <c r="Q8" s="53">
        <v>0.1</v>
      </c>
      <c r="R8" s="84">
        <f t="shared" si="1"/>
        <v>0.08</v>
      </c>
    </row>
    <row r="9" spans="1:19" ht="24.95" customHeight="1" x14ac:dyDescent="0.15">
      <c r="A9" s="223"/>
      <c r="B9" s="63"/>
      <c r="C9" s="48" t="s">
        <v>171</v>
      </c>
      <c r="D9" s="49" t="s">
        <v>29</v>
      </c>
      <c r="E9" s="50">
        <v>5</v>
      </c>
      <c r="F9" s="51" t="s">
        <v>33</v>
      </c>
      <c r="G9" s="67" t="s">
        <v>172</v>
      </c>
      <c r="H9" s="71" t="s">
        <v>171</v>
      </c>
      <c r="I9" s="49" t="s">
        <v>29</v>
      </c>
      <c r="J9" s="51">
        <f t="shared" si="0"/>
        <v>3.75</v>
      </c>
      <c r="K9" s="51" t="s">
        <v>33</v>
      </c>
      <c r="L9" s="51" t="s">
        <v>172</v>
      </c>
      <c r="M9" s="75" t="e">
        <f>#REF!</f>
        <v>#REF!</v>
      </c>
      <c r="N9" s="63" t="s">
        <v>232</v>
      </c>
      <c r="O9" s="52" t="s">
        <v>73</v>
      </c>
      <c r="P9" s="49"/>
      <c r="Q9" s="53">
        <v>0.01</v>
      </c>
      <c r="R9" s="84">
        <f t="shared" si="1"/>
        <v>0.01</v>
      </c>
    </row>
    <row r="10" spans="1:19" ht="24.95" customHeight="1" x14ac:dyDescent="0.15">
      <c r="A10" s="223"/>
      <c r="B10" s="63"/>
      <c r="C10" s="48" t="s">
        <v>59</v>
      </c>
      <c r="D10" s="49" t="s">
        <v>60</v>
      </c>
      <c r="E10" s="50">
        <v>5</v>
      </c>
      <c r="F10" s="51" t="s">
        <v>61</v>
      </c>
      <c r="G10" s="67" t="s">
        <v>43</v>
      </c>
      <c r="H10" s="71" t="s">
        <v>59</v>
      </c>
      <c r="I10" s="49" t="s">
        <v>60</v>
      </c>
      <c r="J10" s="51">
        <f t="shared" si="0"/>
        <v>3.75</v>
      </c>
      <c r="K10" s="51" t="s">
        <v>61</v>
      </c>
      <c r="L10" s="51" t="s">
        <v>43</v>
      </c>
      <c r="M10" s="75" t="e">
        <f>#REF!</f>
        <v>#REF!</v>
      </c>
      <c r="N10" s="63" t="s">
        <v>233</v>
      </c>
      <c r="O10" s="52" t="s">
        <v>30</v>
      </c>
      <c r="P10" s="49"/>
      <c r="Q10" s="53">
        <v>1</v>
      </c>
      <c r="R10" s="84">
        <f t="shared" si="1"/>
        <v>0.75</v>
      </c>
    </row>
    <row r="11" spans="1:19" ht="24.95" customHeight="1" x14ac:dyDescent="0.15">
      <c r="A11" s="223"/>
      <c r="B11" s="63"/>
      <c r="C11" s="48" t="s">
        <v>35</v>
      </c>
      <c r="D11" s="49"/>
      <c r="E11" s="50">
        <v>20</v>
      </c>
      <c r="F11" s="51" t="s">
        <v>33</v>
      </c>
      <c r="G11" s="67"/>
      <c r="H11" s="71" t="s">
        <v>35</v>
      </c>
      <c r="I11" s="49"/>
      <c r="J11" s="51">
        <f t="shared" si="0"/>
        <v>15</v>
      </c>
      <c r="K11" s="51" t="s">
        <v>33</v>
      </c>
      <c r="L11" s="51"/>
      <c r="M11" s="75" t="e">
        <f>ROUND(#REF!+(#REF!*3/100),2)</f>
        <v>#REF!</v>
      </c>
      <c r="N11" s="63" t="s">
        <v>234</v>
      </c>
      <c r="O11" s="52" t="s">
        <v>118</v>
      </c>
      <c r="P11" s="49"/>
      <c r="Q11" s="53">
        <v>2.5</v>
      </c>
      <c r="R11" s="84">
        <f t="shared" si="1"/>
        <v>1.8800000000000001</v>
      </c>
    </row>
    <row r="12" spans="1:19" ht="24.95" customHeight="1" x14ac:dyDescent="0.15">
      <c r="A12" s="223"/>
      <c r="B12" s="63"/>
      <c r="C12" s="48" t="s">
        <v>76</v>
      </c>
      <c r="D12" s="49"/>
      <c r="E12" s="50">
        <v>10</v>
      </c>
      <c r="F12" s="51" t="s">
        <v>33</v>
      </c>
      <c r="G12" s="67"/>
      <c r="H12" s="71" t="s">
        <v>76</v>
      </c>
      <c r="I12" s="49"/>
      <c r="J12" s="51">
        <f t="shared" si="0"/>
        <v>7.5</v>
      </c>
      <c r="K12" s="51" t="s">
        <v>33</v>
      </c>
      <c r="L12" s="51"/>
      <c r="M12" s="75" t="e">
        <f>ROUND(#REF!+(#REF!*50/100),2)</f>
        <v>#REF!</v>
      </c>
      <c r="N12" s="63" t="s">
        <v>39</v>
      </c>
      <c r="O12" s="52" t="s">
        <v>119</v>
      </c>
      <c r="P12" s="49"/>
      <c r="Q12" s="53">
        <v>1.5</v>
      </c>
      <c r="R12" s="84">
        <f t="shared" si="1"/>
        <v>1.1300000000000001</v>
      </c>
    </row>
    <row r="13" spans="1:19" ht="24.95" customHeight="1" x14ac:dyDescent="0.15">
      <c r="A13" s="223"/>
      <c r="B13" s="62"/>
      <c r="C13" s="42"/>
      <c r="D13" s="43"/>
      <c r="E13" s="44"/>
      <c r="F13" s="45"/>
      <c r="G13" s="66"/>
      <c r="H13" s="70"/>
      <c r="I13" s="43"/>
      <c r="J13" s="45"/>
      <c r="K13" s="45"/>
      <c r="L13" s="45"/>
      <c r="M13" s="74"/>
      <c r="N13" s="62"/>
      <c r="O13" s="46"/>
      <c r="P13" s="43"/>
      <c r="Q13" s="47"/>
      <c r="R13" s="85"/>
    </row>
    <row r="14" spans="1:19" ht="24.95" customHeight="1" x14ac:dyDescent="0.15">
      <c r="A14" s="223"/>
      <c r="B14" s="63" t="s">
        <v>235</v>
      </c>
      <c r="C14" s="48" t="s">
        <v>122</v>
      </c>
      <c r="D14" s="49"/>
      <c r="E14" s="50">
        <v>30</v>
      </c>
      <c r="F14" s="51" t="s">
        <v>33</v>
      </c>
      <c r="G14" s="67"/>
      <c r="H14" s="71" t="s">
        <v>122</v>
      </c>
      <c r="I14" s="49"/>
      <c r="J14" s="51">
        <f>ROUNDUP(E14*0.75,2)</f>
        <v>22.5</v>
      </c>
      <c r="K14" s="51" t="s">
        <v>33</v>
      </c>
      <c r="L14" s="51"/>
      <c r="M14" s="75" t="e">
        <f>ROUND(#REF!+(#REF!*6/100),2)</f>
        <v>#REF!</v>
      </c>
      <c r="N14" s="63" t="s">
        <v>236</v>
      </c>
      <c r="O14" s="52" t="s">
        <v>46</v>
      </c>
      <c r="P14" s="49"/>
      <c r="Q14" s="53">
        <v>1</v>
      </c>
      <c r="R14" s="84">
        <f>ROUNDUP(Q14*0.75,2)</f>
        <v>0.75</v>
      </c>
    </row>
    <row r="15" spans="1:19" ht="24.95" customHeight="1" x14ac:dyDescent="0.15">
      <c r="A15" s="223"/>
      <c r="B15" s="63"/>
      <c r="C15" s="48" t="s">
        <v>41</v>
      </c>
      <c r="D15" s="49"/>
      <c r="E15" s="50">
        <v>10</v>
      </c>
      <c r="F15" s="51" t="s">
        <v>33</v>
      </c>
      <c r="G15" s="67"/>
      <c r="H15" s="71" t="s">
        <v>41</v>
      </c>
      <c r="I15" s="49"/>
      <c r="J15" s="51">
        <f>ROUNDUP(E15*0.75,2)</f>
        <v>7.5</v>
      </c>
      <c r="K15" s="51" t="s">
        <v>33</v>
      </c>
      <c r="L15" s="51"/>
      <c r="M15" s="75" t="e">
        <f>ROUND(#REF!+(#REF!*3/100),2)</f>
        <v>#REF!</v>
      </c>
      <c r="N15" s="63" t="s">
        <v>308</v>
      </c>
      <c r="O15" s="52" t="s">
        <v>48</v>
      </c>
      <c r="P15" s="49" t="s">
        <v>29</v>
      </c>
      <c r="Q15" s="53">
        <v>1</v>
      </c>
      <c r="R15" s="84">
        <f>ROUNDUP(Q15*0.75,2)</f>
        <v>0.75</v>
      </c>
    </row>
    <row r="16" spans="1:19" ht="24.95" customHeight="1" x14ac:dyDescent="0.15">
      <c r="A16" s="223"/>
      <c r="B16" s="63"/>
      <c r="C16" s="48" t="s">
        <v>145</v>
      </c>
      <c r="D16" s="49"/>
      <c r="E16" s="50">
        <v>2</v>
      </c>
      <c r="F16" s="51" t="s">
        <v>33</v>
      </c>
      <c r="G16" s="67" t="s">
        <v>146</v>
      </c>
      <c r="H16" s="71" t="s">
        <v>145</v>
      </c>
      <c r="I16" s="49"/>
      <c r="J16" s="51">
        <f>ROUNDUP(E16*0.75,2)</f>
        <v>1.5</v>
      </c>
      <c r="K16" s="51" t="s">
        <v>33</v>
      </c>
      <c r="L16" s="51" t="s">
        <v>146</v>
      </c>
      <c r="M16" s="75" t="e">
        <f>#REF!</f>
        <v>#REF!</v>
      </c>
      <c r="N16" s="63" t="s">
        <v>39</v>
      </c>
      <c r="O16" s="52" t="s">
        <v>45</v>
      </c>
      <c r="P16" s="49"/>
      <c r="Q16" s="53">
        <v>2</v>
      </c>
      <c r="R16" s="84">
        <f>ROUNDUP(Q16*0.75,2)</f>
        <v>1.5</v>
      </c>
    </row>
    <row r="17" spans="1:18" ht="24.95" customHeight="1" x14ac:dyDescent="0.15">
      <c r="A17" s="223"/>
      <c r="B17" s="62"/>
      <c r="C17" s="42"/>
      <c r="D17" s="43"/>
      <c r="E17" s="44"/>
      <c r="F17" s="45"/>
      <c r="G17" s="66"/>
      <c r="H17" s="70"/>
      <c r="I17" s="43"/>
      <c r="J17" s="45"/>
      <c r="K17" s="45"/>
      <c r="L17" s="45"/>
      <c r="M17" s="74"/>
      <c r="N17" s="62"/>
      <c r="O17" s="46"/>
      <c r="P17" s="43"/>
      <c r="Q17" s="47"/>
      <c r="R17" s="85"/>
    </row>
    <row r="18" spans="1:18" ht="24.95" customHeight="1" x14ac:dyDescent="0.15">
      <c r="A18" s="223"/>
      <c r="B18" s="63" t="s">
        <v>49</v>
      </c>
      <c r="C18" s="48" t="s">
        <v>99</v>
      </c>
      <c r="D18" s="49"/>
      <c r="E18" s="50">
        <v>20</v>
      </c>
      <c r="F18" s="51" t="s">
        <v>33</v>
      </c>
      <c r="G18" s="67"/>
      <c r="H18" s="71" t="s">
        <v>99</v>
      </c>
      <c r="I18" s="49"/>
      <c r="J18" s="51">
        <f>ROUNDUP(E18*0.75,2)</f>
        <v>15</v>
      </c>
      <c r="K18" s="51" t="s">
        <v>33</v>
      </c>
      <c r="L18" s="51"/>
      <c r="M18" s="75" t="e">
        <f>ROUND(#REF!+(#REF!*15/100),2)</f>
        <v>#REF!</v>
      </c>
      <c r="N18" s="63" t="s">
        <v>39</v>
      </c>
      <c r="O18" s="52" t="s">
        <v>45</v>
      </c>
      <c r="P18" s="49"/>
      <c r="Q18" s="53">
        <v>100</v>
      </c>
      <c r="R18" s="84">
        <f>ROUNDUP(Q18*0.75,2)</f>
        <v>75</v>
      </c>
    </row>
    <row r="19" spans="1:18" ht="24.95" customHeight="1" x14ac:dyDescent="0.15">
      <c r="A19" s="223"/>
      <c r="B19" s="63"/>
      <c r="C19" s="48" t="s">
        <v>123</v>
      </c>
      <c r="D19" s="49"/>
      <c r="E19" s="50">
        <v>3</v>
      </c>
      <c r="F19" s="51" t="s">
        <v>33</v>
      </c>
      <c r="G19" s="67"/>
      <c r="H19" s="71" t="s">
        <v>123</v>
      </c>
      <c r="I19" s="49"/>
      <c r="J19" s="51">
        <f>ROUNDUP(E19*0.75,2)</f>
        <v>2.25</v>
      </c>
      <c r="K19" s="51" t="s">
        <v>33</v>
      </c>
      <c r="L19" s="51"/>
      <c r="M19" s="75" t="e">
        <f>ROUND(#REF!+(#REF!*40/100),2)</f>
        <v>#REF!</v>
      </c>
      <c r="N19" s="63"/>
      <c r="O19" s="52" t="s">
        <v>53</v>
      </c>
      <c r="P19" s="49"/>
      <c r="Q19" s="53">
        <v>3</v>
      </c>
      <c r="R19" s="84">
        <f>ROUNDUP(Q19*0.75,2)</f>
        <v>2.25</v>
      </c>
    </row>
    <row r="20" spans="1:18" ht="24.95" customHeight="1" thickBot="1" x14ac:dyDescent="0.2">
      <c r="A20" s="224"/>
      <c r="B20" s="64"/>
      <c r="C20" s="55"/>
      <c r="D20" s="56"/>
      <c r="E20" s="57"/>
      <c r="F20" s="58"/>
      <c r="G20" s="68"/>
      <c r="H20" s="72"/>
      <c r="I20" s="56"/>
      <c r="J20" s="58"/>
      <c r="K20" s="58"/>
      <c r="L20" s="58"/>
      <c r="M20" s="76"/>
      <c r="N20" s="64"/>
      <c r="O20" s="59"/>
      <c r="P20" s="56"/>
      <c r="Q20" s="60"/>
      <c r="R20" s="86"/>
    </row>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row r="26" spans="1:18" ht="24.95" customHeight="1" x14ac:dyDescent="0.15"/>
    <row r="27" spans="1:18" ht="20.100000000000001" customHeight="1" x14ac:dyDescent="0.15"/>
    <row r="28" spans="1:18" ht="20.100000000000001" customHeight="1" x14ac:dyDescent="0.15"/>
    <row r="29" spans="1:18" ht="20.100000000000001" customHeight="1" x14ac:dyDescent="0.15"/>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309</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195</v>
      </c>
      <c r="C5" s="36" t="s">
        <v>198</v>
      </c>
      <c r="D5" s="37"/>
      <c r="E5" s="81">
        <v>0.5</v>
      </c>
      <c r="F5" s="39" t="s">
        <v>114</v>
      </c>
      <c r="G5" s="65" t="s">
        <v>43</v>
      </c>
      <c r="H5" s="69" t="s">
        <v>198</v>
      </c>
      <c r="I5" s="37"/>
      <c r="J5" s="39">
        <f>ROUNDUP(E5*0.75,2)</f>
        <v>0.38</v>
      </c>
      <c r="K5" s="39" t="s">
        <v>114</v>
      </c>
      <c r="L5" s="39" t="s">
        <v>43</v>
      </c>
      <c r="M5" s="73" t="e">
        <f>#REF!</f>
        <v>#REF!</v>
      </c>
      <c r="N5" s="61" t="s">
        <v>196</v>
      </c>
      <c r="O5" s="40" t="s">
        <v>15</v>
      </c>
      <c r="P5" s="37"/>
      <c r="Q5" s="41">
        <v>110</v>
      </c>
      <c r="R5" s="83">
        <f>ROUNDUP(Q5*0.75,2)</f>
        <v>82.5</v>
      </c>
    </row>
    <row r="6" spans="1:19" ht="24.95" customHeight="1" x14ac:dyDescent="0.15">
      <c r="A6" s="223"/>
      <c r="B6" s="63"/>
      <c r="C6" s="48"/>
      <c r="D6" s="49"/>
      <c r="E6" s="50"/>
      <c r="F6" s="51"/>
      <c r="G6" s="67"/>
      <c r="H6" s="71"/>
      <c r="I6" s="49"/>
      <c r="J6" s="51"/>
      <c r="K6" s="51"/>
      <c r="L6" s="51"/>
      <c r="M6" s="75"/>
      <c r="N6" s="63" t="s">
        <v>197</v>
      </c>
      <c r="O6" s="52" t="s">
        <v>45</v>
      </c>
      <c r="P6" s="49"/>
      <c r="Q6" s="53">
        <v>1.5</v>
      </c>
      <c r="R6" s="84">
        <f>ROUNDUP(Q6*0.75,2)</f>
        <v>1.1300000000000001</v>
      </c>
    </row>
    <row r="7" spans="1:19" ht="24.95" customHeight="1" x14ac:dyDescent="0.15">
      <c r="A7" s="223"/>
      <c r="B7" s="63"/>
      <c r="C7" s="48"/>
      <c r="D7" s="49"/>
      <c r="E7" s="50"/>
      <c r="F7" s="51"/>
      <c r="G7" s="67"/>
      <c r="H7" s="71"/>
      <c r="I7" s="49"/>
      <c r="J7" s="51"/>
      <c r="K7" s="51"/>
      <c r="L7" s="51"/>
      <c r="M7" s="75"/>
      <c r="N7" s="63" t="s">
        <v>39</v>
      </c>
      <c r="O7" s="52" t="s">
        <v>48</v>
      </c>
      <c r="P7" s="49" t="s">
        <v>29</v>
      </c>
      <c r="Q7" s="53">
        <v>1</v>
      </c>
      <c r="R7" s="84">
        <f>ROUNDUP(Q7*0.75,2)</f>
        <v>0.75</v>
      </c>
    </row>
    <row r="8" spans="1:19" ht="24.95" customHeight="1" x14ac:dyDescent="0.15">
      <c r="A8" s="223"/>
      <c r="B8" s="62"/>
      <c r="C8" s="42"/>
      <c r="D8" s="43"/>
      <c r="E8" s="44"/>
      <c r="F8" s="45"/>
      <c r="G8" s="66"/>
      <c r="H8" s="70"/>
      <c r="I8" s="43"/>
      <c r="J8" s="45"/>
      <c r="K8" s="45"/>
      <c r="L8" s="45"/>
      <c r="M8" s="74"/>
      <c r="N8" s="62"/>
      <c r="O8" s="46"/>
      <c r="P8" s="43"/>
      <c r="Q8" s="47"/>
      <c r="R8" s="85"/>
    </row>
    <row r="9" spans="1:19" ht="24.95" customHeight="1" x14ac:dyDescent="0.15">
      <c r="A9" s="223"/>
      <c r="B9" s="63" t="s">
        <v>239</v>
      </c>
      <c r="C9" s="48" t="s">
        <v>68</v>
      </c>
      <c r="D9" s="49" t="s">
        <v>69</v>
      </c>
      <c r="E9" s="50">
        <v>1</v>
      </c>
      <c r="F9" s="51" t="s">
        <v>57</v>
      </c>
      <c r="G9" s="67"/>
      <c r="H9" s="71" t="s">
        <v>68</v>
      </c>
      <c r="I9" s="49" t="s">
        <v>69</v>
      </c>
      <c r="J9" s="51">
        <f>ROUNDUP(E9*0.75,2)</f>
        <v>0.75</v>
      </c>
      <c r="K9" s="51" t="s">
        <v>57</v>
      </c>
      <c r="L9" s="51"/>
      <c r="M9" s="75" t="e">
        <f>#REF!</f>
        <v>#REF!</v>
      </c>
      <c r="N9" s="63" t="s">
        <v>240</v>
      </c>
      <c r="O9" s="52" t="s">
        <v>63</v>
      </c>
      <c r="P9" s="49" t="s">
        <v>60</v>
      </c>
      <c r="Q9" s="53">
        <v>2</v>
      </c>
      <c r="R9" s="84">
        <f t="shared" ref="R9:R14" si="0">ROUNDUP(Q9*0.75,2)</f>
        <v>1.5</v>
      </c>
    </row>
    <row r="10" spans="1:19" ht="24.95" customHeight="1" x14ac:dyDescent="0.15">
      <c r="A10" s="223"/>
      <c r="B10" s="63"/>
      <c r="C10" s="48" t="s">
        <v>178</v>
      </c>
      <c r="D10" s="49"/>
      <c r="E10" s="50">
        <v>10</v>
      </c>
      <c r="F10" s="51" t="s">
        <v>33</v>
      </c>
      <c r="G10" s="67" t="s">
        <v>179</v>
      </c>
      <c r="H10" s="71" t="s">
        <v>178</v>
      </c>
      <c r="I10" s="49"/>
      <c r="J10" s="51">
        <f>ROUNDUP(E10*0.75,2)</f>
        <v>7.5</v>
      </c>
      <c r="K10" s="51" t="s">
        <v>33</v>
      </c>
      <c r="L10" s="51" t="s">
        <v>179</v>
      </c>
      <c r="M10" s="75" t="e">
        <f>#REF!</f>
        <v>#REF!</v>
      </c>
      <c r="N10" s="63" t="s">
        <v>241</v>
      </c>
      <c r="O10" s="52" t="s">
        <v>27</v>
      </c>
      <c r="P10" s="49"/>
      <c r="Q10" s="53">
        <v>0.1</v>
      </c>
      <c r="R10" s="84">
        <f t="shared" si="0"/>
        <v>0.08</v>
      </c>
    </row>
    <row r="11" spans="1:19" ht="24.95" customHeight="1" x14ac:dyDescent="0.15">
      <c r="A11" s="223"/>
      <c r="B11" s="63"/>
      <c r="C11" s="48" t="s">
        <v>138</v>
      </c>
      <c r="D11" s="49"/>
      <c r="E11" s="50">
        <v>30</v>
      </c>
      <c r="F11" s="51" t="s">
        <v>33</v>
      </c>
      <c r="G11" s="67"/>
      <c r="H11" s="71" t="s">
        <v>138</v>
      </c>
      <c r="I11" s="49"/>
      <c r="J11" s="51">
        <f>ROUNDUP(E11*0.75,2)</f>
        <v>22.5</v>
      </c>
      <c r="K11" s="51" t="s">
        <v>33</v>
      </c>
      <c r="L11" s="51"/>
      <c r="M11" s="75" t="e">
        <f>ROUND(#REF!+(#REF!*10/100),2)</f>
        <v>#REF!</v>
      </c>
      <c r="N11" s="63" t="s">
        <v>242</v>
      </c>
      <c r="O11" s="52" t="s">
        <v>73</v>
      </c>
      <c r="P11" s="49"/>
      <c r="Q11" s="53">
        <v>0.01</v>
      </c>
      <c r="R11" s="84">
        <f t="shared" si="0"/>
        <v>0.01</v>
      </c>
    </row>
    <row r="12" spans="1:19" ht="24.95" customHeight="1" x14ac:dyDescent="0.15">
      <c r="A12" s="223"/>
      <c r="B12" s="63"/>
      <c r="C12" s="48" t="s">
        <v>50</v>
      </c>
      <c r="D12" s="49"/>
      <c r="E12" s="50">
        <v>10</v>
      </c>
      <c r="F12" s="51" t="s">
        <v>33</v>
      </c>
      <c r="G12" s="67"/>
      <c r="H12" s="71" t="s">
        <v>50</v>
      </c>
      <c r="I12" s="49"/>
      <c r="J12" s="51">
        <f>ROUNDUP(E12*0.75,2)</f>
        <v>7.5</v>
      </c>
      <c r="K12" s="51" t="s">
        <v>33</v>
      </c>
      <c r="L12" s="51"/>
      <c r="M12" s="75" t="e">
        <f>ROUND(#REF!+(#REF!*6/100),2)</f>
        <v>#REF!</v>
      </c>
      <c r="N12" s="63" t="s">
        <v>243</v>
      </c>
      <c r="O12" s="52" t="s">
        <v>63</v>
      </c>
      <c r="P12" s="49" t="s">
        <v>60</v>
      </c>
      <c r="Q12" s="53">
        <v>1</v>
      </c>
      <c r="R12" s="84">
        <f t="shared" si="0"/>
        <v>0.75</v>
      </c>
    </row>
    <row r="13" spans="1:19" ht="24.95" customHeight="1" x14ac:dyDescent="0.15">
      <c r="A13" s="223"/>
      <c r="B13" s="63"/>
      <c r="C13" s="48" t="s">
        <v>238</v>
      </c>
      <c r="D13" s="49"/>
      <c r="E13" s="50">
        <v>20</v>
      </c>
      <c r="F13" s="51" t="s">
        <v>33</v>
      </c>
      <c r="G13" s="67" t="s">
        <v>81</v>
      </c>
      <c r="H13" s="71" t="s">
        <v>238</v>
      </c>
      <c r="I13" s="49"/>
      <c r="J13" s="51">
        <f>ROUNDUP(E13*0.75,2)</f>
        <v>15</v>
      </c>
      <c r="K13" s="51" t="s">
        <v>33</v>
      </c>
      <c r="L13" s="51" t="s">
        <v>81</v>
      </c>
      <c r="M13" s="75" t="e">
        <f>#REF!</f>
        <v>#REF!</v>
      </c>
      <c r="N13" s="63" t="s">
        <v>21</v>
      </c>
      <c r="O13" s="52" t="s">
        <v>27</v>
      </c>
      <c r="P13" s="49"/>
      <c r="Q13" s="53">
        <v>0.05</v>
      </c>
      <c r="R13" s="84">
        <f t="shared" si="0"/>
        <v>0.04</v>
      </c>
    </row>
    <row r="14" spans="1:19" ht="24.95" customHeight="1" x14ac:dyDescent="0.15">
      <c r="A14" s="223"/>
      <c r="B14" s="63"/>
      <c r="C14" s="48"/>
      <c r="D14" s="49"/>
      <c r="E14" s="50"/>
      <c r="F14" s="51"/>
      <c r="G14" s="67"/>
      <c r="H14" s="71"/>
      <c r="I14" s="49"/>
      <c r="J14" s="51"/>
      <c r="K14" s="51"/>
      <c r="L14" s="51"/>
      <c r="M14" s="75"/>
      <c r="N14" s="63"/>
      <c r="O14" s="52" t="s">
        <v>118</v>
      </c>
      <c r="P14" s="49"/>
      <c r="Q14" s="53">
        <v>5</v>
      </c>
      <c r="R14" s="84">
        <f t="shared" si="0"/>
        <v>3.75</v>
      </c>
    </row>
    <row r="15" spans="1:19" ht="24.95" customHeight="1" x14ac:dyDescent="0.15">
      <c r="A15" s="223"/>
      <c r="B15" s="62"/>
      <c r="C15" s="42"/>
      <c r="D15" s="43"/>
      <c r="E15" s="44"/>
      <c r="F15" s="45"/>
      <c r="G15" s="66"/>
      <c r="H15" s="70"/>
      <c r="I15" s="43"/>
      <c r="J15" s="45"/>
      <c r="K15" s="45"/>
      <c r="L15" s="45"/>
      <c r="M15" s="74"/>
      <c r="N15" s="62"/>
      <c r="O15" s="46"/>
      <c r="P15" s="43"/>
      <c r="Q15" s="47"/>
      <c r="R15" s="85"/>
    </row>
    <row r="16" spans="1:19" ht="24.95" customHeight="1" x14ac:dyDescent="0.15">
      <c r="A16" s="223"/>
      <c r="B16" s="63" t="s">
        <v>244</v>
      </c>
      <c r="C16" s="48" t="s">
        <v>122</v>
      </c>
      <c r="D16" s="49"/>
      <c r="E16" s="50">
        <v>30</v>
      </c>
      <c r="F16" s="51" t="s">
        <v>33</v>
      </c>
      <c r="G16" s="67"/>
      <c r="H16" s="71" t="s">
        <v>122</v>
      </c>
      <c r="I16" s="49"/>
      <c r="J16" s="51">
        <f>ROUNDUP(E16*0.75,2)</f>
        <v>22.5</v>
      </c>
      <c r="K16" s="51" t="s">
        <v>33</v>
      </c>
      <c r="L16" s="51"/>
      <c r="M16" s="75" t="e">
        <f>ROUND(#REF!+(#REF!*6/100),2)</f>
        <v>#REF!</v>
      </c>
      <c r="N16" s="63" t="s">
        <v>245</v>
      </c>
      <c r="O16" s="52" t="s">
        <v>45</v>
      </c>
      <c r="P16" s="49"/>
      <c r="Q16" s="53">
        <v>2</v>
      </c>
      <c r="R16" s="84">
        <f>ROUNDUP(Q16*0.75,2)</f>
        <v>1.5</v>
      </c>
    </row>
    <row r="17" spans="1:18" ht="24.95" customHeight="1" x14ac:dyDescent="0.15">
      <c r="A17" s="223"/>
      <c r="B17" s="63"/>
      <c r="C17" s="48" t="s">
        <v>41</v>
      </c>
      <c r="D17" s="49"/>
      <c r="E17" s="50">
        <v>10</v>
      </c>
      <c r="F17" s="51" t="s">
        <v>33</v>
      </c>
      <c r="G17" s="67"/>
      <c r="H17" s="71" t="s">
        <v>41</v>
      </c>
      <c r="I17" s="49"/>
      <c r="J17" s="51">
        <f>ROUNDUP(E17*0.75,2)</f>
        <v>7.5</v>
      </c>
      <c r="K17" s="51" t="s">
        <v>33</v>
      </c>
      <c r="L17" s="51"/>
      <c r="M17" s="75" t="e">
        <f>ROUND(#REF!+(#REF!*3/100),2)</f>
        <v>#REF!</v>
      </c>
      <c r="N17" s="63" t="s">
        <v>227</v>
      </c>
      <c r="O17" s="52" t="s">
        <v>48</v>
      </c>
      <c r="P17" s="49" t="s">
        <v>29</v>
      </c>
      <c r="Q17" s="53">
        <v>1</v>
      </c>
      <c r="R17" s="84">
        <f>ROUNDUP(Q17*0.75,2)</f>
        <v>0.75</v>
      </c>
    </row>
    <row r="18" spans="1:18" ht="24.95" customHeight="1" x14ac:dyDescent="0.15">
      <c r="A18" s="223"/>
      <c r="B18" s="63"/>
      <c r="C18" s="48" t="s">
        <v>141</v>
      </c>
      <c r="D18" s="49" t="s">
        <v>142</v>
      </c>
      <c r="E18" s="50">
        <v>2</v>
      </c>
      <c r="F18" s="51" t="s">
        <v>33</v>
      </c>
      <c r="G18" s="67"/>
      <c r="H18" s="71" t="s">
        <v>141</v>
      </c>
      <c r="I18" s="49" t="s">
        <v>142</v>
      </c>
      <c r="J18" s="51">
        <f>ROUNDUP(E18*0.75,2)</f>
        <v>1.5</v>
      </c>
      <c r="K18" s="51" t="s">
        <v>33</v>
      </c>
      <c r="L18" s="51"/>
      <c r="M18" s="75" t="e">
        <f>#REF!</f>
        <v>#REF!</v>
      </c>
      <c r="N18" s="63" t="s">
        <v>39</v>
      </c>
      <c r="O18" s="52"/>
      <c r="P18" s="49"/>
      <c r="Q18" s="53"/>
      <c r="R18" s="84"/>
    </row>
    <row r="19" spans="1:18" ht="24.95" customHeight="1" x14ac:dyDescent="0.15">
      <c r="A19" s="223"/>
      <c r="B19" s="62"/>
      <c r="C19" s="42"/>
      <c r="D19" s="43"/>
      <c r="E19" s="44"/>
      <c r="F19" s="45"/>
      <c r="G19" s="66"/>
      <c r="H19" s="70"/>
      <c r="I19" s="43"/>
      <c r="J19" s="45"/>
      <c r="K19" s="45"/>
      <c r="L19" s="45"/>
      <c r="M19" s="74"/>
      <c r="N19" s="62"/>
      <c r="O19" s="46"/>
      <c r="P19" s="43"/>
      <c r="Q19" s="47"/>
      <c r="R19" s="85"/>
    </row>
    <row r="20" spans="1:18" ht="24.95" customHeight="1" x14ac:dyDescent="0.15">
      <c r="A20" s="223"/>
      <c r="B20" s="63" t="s">
        <v>49</v>
      </c>
      <c r="C20" s="48" t="s">
        <v>51</v>
      </c>
      <c r="D20" s="49"/>
      <c r="E20" s="50">
        <v>0.5</v>
      </c>
      <c r="F20" s="51" t="s">
        <v>33</v>
      </c>
      <c r="G20" s="67" t="s">
        <v>52</v>
      </c>
      <c r="H20" s="71" t="s">
        <v>51</v>
      </c>
      <c r="I20" s="49"/>
      <c r="J20" s="51">
        <f>ROUNDUP(E20*0.75,2)</f>
        <v>0.38</v>
      </c>
      <c r="K20" s="51" t="s">
        <v>33</v>
      </c>
      <c r="L20" s="51" t="s">
        <v>52</v>
      </c>
      <c r="M20" s="75" t="e">
        <f>#REF!</f>
        <v>#REF!</v>
      </c>
      <c r="N20" s="63" t="s">
        <v>39</v>
      </c>
      <c r="O20" s="52" t="s">
        <v>45</v>
      </c>
      <c r="P20" s="49"/>
      <c r="Q20" s="53">
        <v>100</v>
      </c>
      <c r="R20" s="84">
        <f>ROUNDUP(Q20*0.75,2)</f>
        <v>75</v>
      </c>
    </row>
    <row r="21" spans="1:18" ht="24.95" customHeight="1" x14ac:dyDescent="0.15">
      <c r="A21" s="223"/>
      <c r="B21" s="63"/>
      <c r="C21" s="48" t="s">
        <v>208</v>
      </c>
      <c r="D21" s="49" t="s">
        <v>29</v>
      </c>
      <c r="E21" s="50">
        <v>2</v>
      </c>
      <c r="F21" s="51" t="s">
        <v>57</v>
      </c>
      <c r="G21" s="67" t="s">
        <v>81</v>
      </c>
      <c r="H21" s="71" t="s">
        <v>208</v>
      </c>
      <c r="I21" s="49" t="s">
        <v>29</v>
      </c>
      <c r="J21" s="51">
        <f>ROUNDUP(E21*0.75,2)</f>
        <v>1.5</v>
      </c>
      <c r="K21" s="51" t="s">
        <v>57</v>
      </c>
      <c r="L21" s="51" t="s">
        <v>81</v>
      </c>
      <c r="M21" s="75" t="e">
        <f>#REF!</f>
        <v>#REF!</v>
      </c>
      <c r="N21" s="63"/>
      <c r="O21" s="52" t="s">
        <v>53</v>
      </c>
      <c r="P21" s="49"/>
      <c r="Q21" s="53">
        <v>3</v>
      </c>
      <c r="R21" s="84">
        <f>ROUNDUP(Q21*0.75,2)</f>
        <v>2.25</v>
      </c>
    </row>
    <row r="22" spans="1:18" ht="24.95" customHeight="1" thickBot="1" x14ac:dyDescent="0.2">
      <c r="A22" s="224"/>
      <c r="B22" s="64"/>
      <c r="C22" s="55"/>
      <c r="D22" s="56"/>
      <c r="E22" s="57"/>
      <c r="F22" s="58"/>
      <c r="G22" s="68"/>
      <c r="H22" s="72"/>
      <c r="I22" s="56"/>
      <c r="J22" s="58"/>
      <c r="K22" s="58"/>
      <c r="L22" s="58"/>
      <c r="M22" s="76"/>
      <c r="N22" s="64"/>
      <c r="O22" s="59"/>
      <c r="P22" s="56"/>
      <c r="Q22" s="60"/>
      <c r="R22" s="86"/>
    </row>
    <row r="23" spans="1:18" ht="20.100000000000001" customHeight="1" x14ac:dyDescent="0.15"/>
    <row r="24" spans="1:18" ht="20.100000000000001" customHeight="1" x14ac:dyDescent="0.15"/>
    <row r="25" spans="1:18" ht="20.100000000000001" customHeight="1" x14ac:dyDescent="0.15"/>
    <row r="26" spans="1:18" ht="20.100000000000001" customHeight="1" x14ac:dyDescent="0.15"/>
    <row r="27" spans="1:18" ht="20.100000000000001" customHeight="1" x14ac:dyDescent="0.15"/>
    <row r="28" spans="1:18" ht="20.100000000000001" customHeight="1" x14ac:dyDescent="0.15"/>
    <row r="29" spans="1:18" ht="20.100000000000001" customHeight="1" x14ac:dyDescent="0.15"/>
  </sheetData>
  <mergeCells count="4">
    <mergeCell ref="H1:N1"/>
    <mergeCell ref="A2:R2"/>
    <mergeCell ref="A3:F3"/>
    <mergeCell ref="A5:A22"/>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14</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15</v>
      </c>
      <c r="C5" s="36"/>
      <c r="D5" s="37"/>
      <c r="E5" s="38"/>
      <c r="F5" s="39"/>
      <c r="G5" s="65"/>
      <c r="H5" s="69"/>
      <c r="I5" s="37"/>
      <c r="J5" s="39"/>
      <c r="K5" s="39"/>
      <c r="L5" s="39"/>
      <c r="M5" s="73"/>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16</v>
      </c>
      <c r="C7" s="48" t="s">
        <v>22</v>
      </c>
      <c r="D7" s="49"/>
      <c r="E7" s="50">
        <v>1</v>
      </c>
      <c r="F7" s="51" t="s">
        <v>24</v>
      </c>
      <c r="G7" s="67" t="s">
        <v>23</v>
      </c>
      <c r="H7" s="71" t="s">
        <v>22</v>
      </c>
      <c r="I7" s="49"/>
      <c r="J7" s="51">
        <f>ROUNDUP(E7*0.75,2)</f>
        <v>0.75</v>
      </c>
      <c r="K7" s="51" t="s">
        <v>24</v>
      </c>
      <c r="L7" s="51" t="s">
        <v>23</v>
      </c>
      <c r="M7" s="75" t="e">
        <f>#REF!</f>
        <v>#REF!</v>
      </c>
      <c r="N7" s="63" t="s">
        <v>17</v>
      </c>
      <c r="O7" s="52" t="s">
        <v>25</v>
      </c>
      <c r="P7" s="49" t="s">
        <v>26</v>
      </c>
      <c r="Q7" s="53">
        <v>10</v>
      </c>
      <c r="R7" s="84">
        <f>ROUNDUP(Q7*0.75,2)</f>
        <v>7.5</v>
      </c>
    </row>
    <row r="8" spans="1:19" ht="24.95" customHeight="1" x14ac:dyDescent="0.15">
      <c r="A8" s="223"/>
      <c r="B8" s="63"/>
      <c r="C8" s="48" t="s">
        <v>31</v>
      </c>
      <c r="D8" s="49"/>
      <c r="E8" s="50">
        <v>10</v>
      </c>
      <c r="F8" s="51" t="s">
        <v>33</v>
      </c>
      <c r="G8" s="67" t="s">
        <v>32</v>
      </c>
      <c r="H8" s="71" t="s">
        <v>31</v>
      </c>
      <c r="I8" s="49"/>
      <c r="J8" s="51">
        <f>ROUNDUP(E8*0.75,2)</f>
        <v>7.5</v>
      </c>
      <c r="K8" s="51" t="s">
        <v>33</v>
      </c>
      <c r="L8" s="51" t="s">
        <v>32</v>
      </c>
      <c r="M8" s="75" t="e">
        <f>#REF!</f>
        <v>#REF!</v>
      </c>
      <c r="N8" s="63" t="s">
        <v>18</v>
      </c>
      <c r="O8" s="52" t="s">
        <v>27</v>
      </c>
      <c r="P8" s="49"/>
      <c r="Q8" s="53">
        <v>0.1</v>
      </c>
      <c r="R8" s="84">
        <f>ROUNDUP(Q8*0.75,2)</f>
        <v>0.08</v>
      </c>
    </row>
    <row r="9" spans="1:19" ht="24.95" customHeight="1" x14ac:dyDescent="0.15">
      <c r="A9" s="223"/>
      <c r="B9" s="63"/>
      <c r="C9" s="48" t="s">
        <v>34</v>
      </c>
      <c r="D9" s="49"/>
      <c r="E9" s="50">
        <v>0.5</v>
      </c>
      <c r="F9" s="51" t="s">
        <v>33</v>
      </c>
      <c r="G9" s="67"/>
      <c r="H9" s="71" t="s">
        <v>34</v>
      </c>
      <c r="I9" s="49"/>
      <c r="J9" s="51">
        <f>ROUNDUP(E9*0.75,2)</f>
        <v>0.38</v>
      </c>
      <c r="K9" s="51" t="s">
        <v>33</v>
      </c>
      <c r="L9" s="51"/>
      <c r="M9" s="75" t="e">
        <f>ROUND(#REF!+(#REF!*10/100),2)</f>
        <v>#REF!</v>
      </c>
      <c r="N9" s="63" t="s">
        <v>19</v>
      </c>
      <c r="O9" s="52" t="s">
        <v>28</v>
      </c>
      <c r="P9" s="49" t="s">
        <v>29</v>
      </c>
      <c r="Q9" s="53">
        <v>3</v>
      </c>
      <c r="R9" s="84">
        <f>ROUNDUP(Q9*0.75,2)</f>
        <v>2.25</v>
      </c>
    </row>
    <row r="10" spans="1:19" ht="24.95" customHeight="1" x14ac:dyDescent="0.15">
      <c r="A10" s="223"/>
      <c r="B10" s="63"/>
      <c r="C10" s="48" t="s">
        <v>35</v>
      </c>
      <c r="D10" s="49"/>
      <c r="E10" s="50">
        <v>20</v>
      </c>
      <c r="F10" s="51" t="s">
        <v>33</v>
      </c>
      <c r="G10" s="67"/>
      <c r="H10" s="71" t="s">
        <v>35</v>
      </c>
      <c r="I10" s="49"/>
      <c r="J10" s="51">
        <f>ROUNDUP(E10*0.75,2)</f>
        <v>15</v>
      </c>
      <c r="K10" s="51" t="s">
        <v>33</v>
      </c>
      <c r="L10" s="51"/>
      <c r="M10" s="75" t="e">
        <f>ROUND(#REF!+(#REF!*3/100),2)</f>
        <v>#REF!</v>
      </c>
      <c r="N10" s="63" t="s">
        <v>295</v>
      </c>
      <c r="O10" s="52" t="s">
        <v>30</v>
      </c>
      <c r="P10" s="49"/>
      <c r="Q10" s="53">
        <v>2</v>
      </c>
      <c r="R10" s="84">
        <f>ROUNDUP(Q10*0.75,2)</f>
        <v>1.5</v>
      </c>
    </row>
    <row r="11" spans="1:19" ht="24.95" customHeight="1" x14ac:dyDescent="0.15">
      <c r="A11" s="223"/>
      <c r="B11" s="63"/>
      <c r="C11" s="48"/>
      <c r="D11" s="49"/>
      <c r="E11" s="50"/>
      <c r="F11" s="51"/>
      <c r="G11" s="67"/>
      <c r="H11" s="71"/>
      <c r="I11" s="49"/>
      <c r="J11" s="51"/>
      <c r="K11" s="51"/>
      <c r="L11" s="51"/>
      <c r="M11" s="75"/>
      <c r="N11" s="63" t="s">
        <v>296</v>
      </c>
      <c r="O11" s="52"/>
      <c r="P11" s="49"/>
      <c r="Q11" s="53"/>
      <c r="R11" s="84"/>
    </row>
    <row r="12" spans="1:19" ht="24.95" customHeight="1" x14ac:dyDescent="0.15">
      <c r="A12" s="223"/>
      <c r="B12" s="63"/>
      <c r="C12" s="48"/>
      <c r="D12" s="49"/>
      <c r="E12" s="50"/>
      <c r="F12" s="51"/>
      <c r="G12" s="67"/>
      <c r="H12" s="71"/>
      <c r="I12" s="49"/>
      <c r="J12" s="51"/>
      <c r="K12" s="51"/>
      <c r="L12" s="51"/>
      <c r="M12" s="75"/>
      <c r="N12" s="63" t="s">
        <v>297</v>
      </c>
      <c r="O12" s="52"/>
      <c r="P12" s="49"/>
      <c r="Q12" s="53"/>
      <c r="R12" s="84"/>
    </row>
    <row r="13" spans="1:19" ht="24.95" customHeight="1" x14ac:dyDescent="0.15">
      <c r="A13" s="223"/>
      <c r="B13" s="63"/>
      <c r="C13" s="48"/>
      <c r="D13" s="49"/>
      <c r="E13" s="50"/>
      <c r="F13" s="51"/>
      <c r="G13" s="67"/>
      <c r="H13" s="71"/>
      <c r="I13" s="49"/>
      <c r="J13" s="51"/>
      <c r="K13" s="51"/>
      <c r="L13" s="51"/>
      <c r="M13" s="75"/>
      <c r="N13" s="63" t="s">
        <v>21</v>
      </c>
      <c r="O13" s="52"/>
      <c r="P13" s="49"/>
      <c r="Q13" s="53"/>
      <c r="R13" s="84"/>
    </row>
    <row r="14" spans="1:19" ht="24.95" customHeight="1" x14ac:dyDescent="0.15">
      <c r="A14" s="223"/>
      <c r="B14" s="62"/>
      <c r="C14" s="42"/>
      <c r="D14" s="43"/>
      <c r="E14" s="44"/>
      <c r="F14" s="45"/>
      <c r="G14" s="66"/>
      <c r="H14" s="70"/>
      <c r="I14" s="43"/>
      <c r="J14" s="45"/>
      <c r="K14" s="45"/>
      <c r="L14" s="45"/>
      <c r="M14" s="74"/>
      <c r="N14" s="62"/>
      <c r="O14" s="46"/>
      <c r="P14" s="43"/>
      <c r="Q14" s="47"/>
      <c r="R14" s="85"/>
    </row>
    <row r="15" spans="1:19" ht="24.95" customHeight="1" x14ac:dyDescent="0.15">
      <c r="A15" s="223"/>
      <c r="B15" s="63" t="s">
        <v>36</v>
      </c>
      <c r="C15" s="48" t="s">
        <v>40</v>
      </c>
      <c r="D15" s="49"/>
      <c r="E15" s="50">
        <v>5</v>
      </c>
      <c r="F15" s="51" t="s">
        <v>33</v>
      </c>
      <c r="G15" s="67"/>
      <c r="H15" s="71" t="s">
        <v>40</v>
      </c>
      <c r="I15" s="49"/>
      <c r="J15" s="51">
        <f>ROUNDUP(E15*0.75,2)</f>
        <v>3.75</v>
      </c>
      <c r="K15" s="51" t="s">
        <v>33</v>
      </c>
      <c r="L15" s="51"/>
      <c r="M15" s="75" t="e">
        <f>#REF!</f>
        <v>#REF!</v>
      </c>
      <c r="N15" s="63" t="s">
        <v>37</v>
      </c>
      <c r="O15" s="52" t="s">
        <v>44</v>
      </c>
      <c r="P15" s="49"/>
      <c r="Q15" s="53">
        <v>1</v>
      </c>
      <c r="R15" s="84">
        <f>ROUNDUP(Q15*0.75,2)</f>
        <v>0.75</v>
      </c>
    </row>
    <row r="16" spans="1:19" ht="24.95" customHeight="1" x14ac:dyDescent="0.15">
      <c r="A16" s="223"/>
      <c r="B16" s="63"/>
      <c r="C16" s="48" t="s">
        <v>41</v>
      </c>
      <c r="D16" s="49"/>
      <c r="E16" s="50">
        <v>10</v>
      </c>
      <c r="F16" s="51" t="s">
        <v>33</v>
      </c>
      <c r="G16" s="67"/>
      <c r="H16" s="71" t="s">
        <v>41</v>
      </c>
      <c r="I16" s="49"/>
      <c r="J16" s="51">
        <f>ROUNDUP(E16*0.75,2)</f>
        <v>7.5</v>
      </c>
      <c r="K16" s="51" t="s">
        <v>33</v>
      </c>
      <c r="L16" s="51"/>
      <c r="M16" s="75" t="e">
        <f>ROUND(#REF!+(#REF!*3/100),2)</f>
        <v>#REF!</v>
      </c>
      <c r="N16" s="63" t="s">
        <v>38</v>
      </c>
      <c r="O16" s="52" t="s">
        <v>45</v>
      </c>
      <c r="P16" s="49"/>
      <c r="Q16" s="53">
        <v>20</v>
      </c>
      <c r="R16" s="84">
        <f>ROUNDUP(Q16*0.75,2)</f>
        <v>15</v>
      </c>
    </row>
    <row r="17" spans="1:18" ht="24.95" customHeight="1" x14ac:dyDescent="0.15">
      <c r="A17" s="223"/>
      <c r="B17" s="63"/>
      <c r="C17" s="48" t="s">
        <v>42</v>
      </c>
      <c r="D17" s="49"/>
      <c r="E17" s="50">
        <v>5</v>
      </c>
      <c r="F17" s="51" t="s">
        <v>33</v>
      </c>
      <c r="G17" s="67" t="s">
        <v>43</v>
      </c>
      <c r="H17" s="71" t="s">
        <v>42</v>
      </c>
      <c r="I17" s="49"/>
      <c r="J17" s="51">
        <f>ROUNDUP(E17*0.75,2)</f>
        <v>3.75</v>
      </c>
      <c r="K17" s="51" t="s">
        <v>33</v>
      </c>
      <c r="L17" s="51" t="s">
        <v>43</v>
      </c>
      <c r="M17" s="75" t="e">
        <f>#REF!</f>
        <v>#REF!</v>
      </c>
      <c r="N17" s="63" t="s">
        <v>39</v>
      </c>
      <c r="O17" s="52" t="s">
        <v>46</v>
      </c>
      <c r="P17" s="49"/>
      <c r="Q17" s="53">
        <v>1</v>
      </c>
      <c r="R17" s="84">
        <f>ROUNDUP(Q17*0.75,2)</f>
        <v>0.75</v>
      </c>
    </row>
    <row r="18" spans="1:18" ht="24.95" customHeight="1" x14ac:dyDescent="0.15">
      <c r="A18" s="223"/>
      <c r="B18" s="63"/>
      <c r="C18" s="48"/>
      <c r="D18" s="49"/>
      <c r="E18" s="50"/>
      <c r="F18" s="51"/>
      <c r="G18" s="67"/>
      <c r="H18" s="71"/>
      <c r="I18" s="49"/>
      <c r="J18" s="51"/>
      <c r="K18" s="51"/>
      <c r="L18" s="51"/>
      <c r="M18" s="75"/>
      <c r="N18" s="63"/>
      <c r="O18" s="52" t="s">
        <v>47</v>
      </c>
      <c r="P18" s="49"/>
      <c r="Q18" s="53">
        <v>1</v>
      </c>
      <c r="R18" s="84">
        <f>ROUNDUP(Q18*0.75,2)</f>
        <v>0.75</v>
      </c>
    </row>
    <row r="19" spans="1:18" ht="24.95" customHeight="1" x14ac:dyDescent="0.15">
      <c r="A19" s="223"/>
      <c r="B19" s="63"/>
      <c r="C19" s="48"/>
      <c r="D19" s="49"/>
      <c r="E19" s="50"/>
      <c r="F19" s="51"/>
      <c r="G19" s="67"/>
      <c r="H19" s="71"/>
      <c r="I19" s="49"/>
      <c r="J19" s="51"/>
      <c r="K19" s="51"/>
      <c r="L19" s="51"/>
      <c r="M19" s="75"/>
      <c r="N19" s="63"/>
      <c r="O19" s="52" t="s">
        <v>48</v>
      </c>
      <c r="P19" s="49" t="s">
        <v>29</v>
      </c>
      <c r="Q19" s="53">
        <v>1.5</v>
      </c>
      <c r="R19" s="84">
        <f>ROUNDUP(Q19*0.75,2)</f>
        <v>1.1300000000000001</v>
      </c>
    </row>
    <row r="20" spans="1:18" ht="24.95" customHeight="1" x14ac:dyDescent="0.15">
      <c r="A20" s="223"/>
      <c r="B20" s="62"/>
      <c r="C20" s="42"/>
      <c r="D20" s="43"/>
      <c r="E20" s="44"/>
      <c r="F20" s="45"/>
      <c r="G20" s="66"/>
      <c r="H20" s="70"/>
      <c r="I20" s="43"/>
      <c r="J20" s="45"/>
      <c r="K20" s="45"/>
      <c r="L20" s="45"/>
      <c r="M20" s="74"/>
      <c r="N20" s="62"/>
      <c r="O20" s="46"/>
      <c r="P20" s="43"/>
      <c r="Q20" s="47"/>
      <c r="R20" s="85"/>
    </row>
    <row r="21" spans="1:18" ht="24.95" customHeight="1" x14ac:dyDescent="0.15">
      <c r="A21" s="223"/>
      <c r="B21" s="63" t="s">
        <v>49</v>
      </c>
      <c r="C21" s="48" t="s">
        <v>50</v>
      </c>
      <c r="D21" s="49"/>
      <c r="E21" s="50">
        <v>20</v>
      </c>
      <c r="F21" s="51" t="s">
        <v>33</v>
      </c>
      <c r="G21" s="67"/>
      <c r="H21" s="71" t="s">
        <v>50</v>
      </c>
      <c r="I21" s="49"/>
      <c r="J21" s="51">
        <f>ROUNDUP(E21*0.75,2)</f>
        <v>15</v>
      </c>
      <c r="K21" s="51" t="s">
        <v>33</v>
      </c>
      <c r="L21" s="51"/>
      <c r="M21" s="75" t="e">
        <f>ROUND(#REF!+(#REF!*6/100),2)</f>
        <v>#REF!</v>
      </c>
      <c r="N21" s="63" t="s">
        <v>39</v>
      </c>
      <c r="O21" s="52" t="s">
        <v>45</v>
      </c>
      <c r="P21" s="49"/>
      <c r="Q21" s="53">
        <v>100</v>
      </c>
      <c r="R21" s="84">
        <f>ROUNDUP(Q21*0.75,2)</f>
        <v>75</v>
      </c>
    </row>
    <row r="22" spans="1:18" ht="24.95" customHeight="1" x14ac:dyDescent="0.15">
      <c r="A22" s="223"/>
      <c r="B22" s="63"/>
      <c r="C22" s="48" t="s">
        <v>51</v>
      </c>
      <c r="D22" s="49"/>
      <c r="E22" s="50">
        <v>0.5</v>
      </c>
      <c r="F22" s="51" t="s">
        <v>33</v>
      </c>
      <c r="G22" s="67" t="s">
        <v>52</v>
      </c>
      <c r="H22" s="71" t="s">
        <v>51</v>
      </c>
      <c r="I22" s="49"/>
      <c r="J22" s="51">
        <f>ROUNDUP(E22*0.75,2)</f>
        <v>0.38</v>
      </c>
      <c r="K22" s="51" t="s">
        <v>33</v>
      </c>
      <c r="L22" s="51" t="s">
        <v>52</v>
      </c>
      <c r="M22" s="75" t="e">
        <f>#REF!</f>
        <v>#REF!</v>
      </c>
      <c r="N22" s="63"/>
      <c r="O22" s="52" t="s">
        <v>53</v>
      </c>
      <c r="P22" s="49"/>
      <c r="Q22" s="53">
        <v>3</v>
      </c>
      <c r="R22" s="84">
        <f>ROUNDUP(Q22*0.75,2)</f>
        <v>2.25</v>
      </c>
    </row>
    <row r="23" spans="1:18" ht="24.95" customHeight="1" x14ac:dyDescent="0.15">
      <c r="A23" s="223"/>
      <c r="B23" s="62"/>
      <c r="C23" s="42"/>
      <c r="D23" s="43"/>
      <c r="E23" s="44"/>
      <c r="F23" s="45"/>
      <c r="G23" s="66"/>
      <c r="H23" s="70"/>
      <c r="I23" s="43"/>
      <c r="J23" s="45"/>
      <c r="K23" s="45"/>
      <c r="L23" s="45"/>
      <c r="M23" s="74"/>
      <c r="N23" s="62"/>
      <c r="O23" s="46"/>
      <c r="P23" s="43"/>
      <c r="Q23" s="47"/>
      <c r="R23" s="85"/>
    </row>
    <row r="24" spans="1:18" ht="24.95" customHeight="1" x14ac:dyDescent="0.15">
      <c r="A24" s="223"/>
      <c r="B24" s="63" t="s">
        <v>54</v>
      </c>
      <c r="C24" s="48" t="s">
        <v>56</v>
      </c>
      <c r="D24" s="49"/>
      <c r="E24" s="54">
        <v>0.125</v>
      </c>
      <c r="F24" s="51" t="s">
        <v>57</v>
      </c>
      <c r="G24" s="67"/>
      <c r="H24" s="71" t="s">
        <v>56</v>
      </c>
      <c r="I24" s="49"/>
      <c r="J24" s="51">
        <f>ROUNDUP(E24*0.75,2)</f>
        <v>9.9999999999999992E-2</v>
      </c>
      <c r="K24" s="51" t="s">
        <v>57</v>
      </c>
      <c r="L24" s="51"/>
      <c r="M24" s="75" t="e">
        <f>#REF!</f>
        <v>#REF!</v>
      </c>
      <c r="N24" s="63" t="s">
        <v>314</v>
      </c>
      <c r="O24" s="52"/>
      <c r="P24" s="49"/>
      <c r="Q24" s="53"/>
      <c r="R24" s="84"/>
    </row>
    <row r="25" spans="1:18" ht="24.95" customHeight="1" thickBot="1" x14ac:dyDescent="0.2">
      <c r="A25" s="224"/>
      <c r="B25" s="64"/>
      <c r="C25" s="55"/>
      <c r="D25" s="56"/>
      <c r="E25" s="57"/>
      <c r="F25" s="58"/>
      <c r="G25" s="68"/>
      <c r="H25" s="72"/>
      <c r="I25" s="56"/>
      <c r="J25" s="58"/>
      <c r="K25" s="58"/>
      <c r="L25" s="58"/>
      <c r="M25" s="76"/>
      <c r="N25" s="64"/>
      <c r="O25" s="59"/>
      <c r="P25" s="56"/>
      <c r="Q25" s="60"/>
      <c r="R25" s="86"/>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274</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15</v>
      </c>
      <c r="C5" s="36"/>
      <c r="D5" s="37"/>
      <c r="E5" s="38"/>
      <c r="F5" s="39"/>
      <c r="G5" s="65"/>
      <c r="H5" s="69"/>
      <c r="I5" s="37"/>
      <c r="J5" s="39"/>
      <c r="K5" s="39"/>
      <c r="L5" s="39"/>
      <c r="M5" s="73"/>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16</v>
      </c>
      <c r="C7" s="48" t="s">
        <v>22</v>
      </c>
      <c r="D7" s="49"/>
      <c r="E7" s="50">
        <v>1</v>
      </c>
      <c r="F7" s="51" t="s">
        <v>24</v>
      </c>
      <c r="G7" s="67" t="s">
        <v>23</v>
      </c>
      <c r="H7" s="71" t="s">
        <v>22</v>
      </c>
      <c r="I7" s="49"/>
      <c r="J7" s="51">
        <f>ROUNDUP(E7*0.75,2)</f>
        <v>0.75</v>
      </c>
      <c r="K7" s="51" t="s">
        <v>24</v>
      </c>
      <c r="L7" s="51" t="s">
        <v>23</v>
      </c>
      <c r="M7" s="75" t="e">
        <f>#REF!</f>
        <v>#REF!</v>
      </c>
      <c r="N7" s="63" t="s">
        <v>17</v>
      </c>
      <c r="O7" s="52" t="s">
        <v>25</v>
      </c>
      <c r="P7" s="49" t="s">
        <v>26</v>
      </c>
      <c r="Q7" s="53">
        <v>10</v>
      </c>
      <c r="R7" s="84">
        <f>ROUNDUP(Q7*0.75,2)</f>
        <v>7.5</v>
      </c>
    </row>
    <row r="8" spans="1:19" ht="24.95" customHeight="1" x14ac:dyDescent="0.15">
      <c r="A8" s="223"/>
      <c r="B8" s="63"/>
      <c r="C8" s="48" t="s">
        <v>31</v>
      </c>
      <c r="D8" s="49"/>
      <c r="E8" s="50">
        <v>10</v>
      </c>
      <c r="F8" s="51" t="s">
        <v>33</v>
      </c>
      <c r="G8" s="67" t="s">
        <v>32</v>
      </c>
      <c r="H8" s="71" t="s">
        <v>31</v>
      </c>
      <c r="I8" s="49"/>
      <c r="J8" s="51">
        <f>ROUNDUP(E8*0.75,2)</f>
        <v>7.5</v>
      </c>
      <c r="K8" s="51" t="s">
        <v>33</v>
      </c>
      <c r="L8" s="51" t="s">
        <v>32</v>
      </c>
      <c r="M8" s="75" t="e">
        <f>#REF!</f>
        <v>#REF!</v>
      </c>
      <c r="N8" s="63" t="s">
        <v>18</v>
      </c>
      <c r="O8" s="52" t="s">
        <v>27</v>
      </c>
      <c r="P8" s="49"/>
      <c r="Q8" s="53">
        <v>0.1</v>
      </c>
      <c r="R8" s="84">
        <f>ROUNDUP(Q8*0.75,2)</f>
        <v>0.08</v>
      </c>
    </row>
    <row r="9" spans="1:19" ht="24.95" customHeight="1" x14ac:dyDescent="0.15">
      <c r="A9" s="223"/>
      <c r="B9" s="63"/>
      <c r="C9" s="48" t="s">
        <v>34</v>
      </c>
      <c r="D9" s="49"/>
      <c r="E9" s="50">
        <v>0.5</v>
      </c>
      <c r="F9" s="51" t="s">
        <v>33</v>
      </c>
      <c r="G9" s="67"/>
      <c r="H9" s="71" t="s">
        <v>34</v>
      </c>
      <c r="I9" s="49"/>
      <c r="J9" s="51">
        <f>ROUNDUP(E9*0.75,2)</f>
        <v>0.38</v>
      </c>
      <c r="K9" s="51" t="s">
        <v>33</v>
      </c>
      <c r="L9" s="51"/>
      <c r="M9" s="75" t="e">
        <f>ROUND(#REF!+(#REF!*10/100),2)</f>
        <v>#REF!</v>
      </c>
      <c r="N9" s="63" t="s">
        <v>19</v>
      </c>
      <c r="O9" s="52" t="s">
        <v>28</v>
      </c>
      <c r="P9" s="49" t="s">
        <v>29</v>
      </c>
      <c r="Q9" s="53">
        <v>3</v>
      </c>
      <c r="R9" s="84">
        <f>ROUNDUP(Q9*0.75,2)</f>
        <v>2.25</v>
      </c>
    </row>
    <row r="10" spans="1:19" ht="24.95" customHeight="1" x14ac:dyDescent="0.15">
      <c r="A10" s="223"/>
      <c r="B10" s="63"/>
      <c r="C10" s="48" t="s">
        <v>35</v>
      </c>
      <c r="D10" s="49"/>
      <c r="E10" s="50">
        <v>20</v>
      </c>
      <c r="F10" s="51" t="s">
        <v>33</v>
      </c>
      <c r="G10" s="67"/>
      <c r="H10" s="71" t="s">
        <v>35</v>
      </c>
      <c r="I10" s="49"/>
      <c r="J10" s="51">
        <f>ROUNDUP(E10*0.75,2)</f>
        <v>15</v>
      </c>
      <c r="K10" s="51" t="s">
        <v>33</v>
      </c>
      <c r="L10" s="51"/>
      <c r="M10" s="75" t="e">
        <f>ROUND(#REF!+(#REF!*3/100),2)</f>
        <v>#REF!</v>
      </c>
      <c r="N10" s="63" t="s">
        <v>20</v>
      </c>
      <c r="O10" s="52" t="s">
        <v>30</v>
      </c>
      <c r="P10" s="49"/>
      <c r="Q10" s="53">
        <v>2</v>
      </c>
      <c r="R10" s="84">
        <f>ROUNDUP(Q10*0.75,2)</f>
        <v>1.5</v>
      </c>
    </row>
    <row r="11" spans="1:19" ht="24.95" customHeight="1" x14ac:dyDescent="0.15">
      <c r="A11" s="223"/>
      <c r="B11" s="63"/>
      <c r="C11" s="48"/>
      <c r="D11" s="49"/>
      <c r="E11" s="50"/>
      <c r="F11" s="51"/>
      <c r="G11" s="67"/>
      <c r="H11" s="71"/>
      <c r="I11" s="49"/>
      <c r="J11" s="51"/>
      <c r="K11" s="51"/>
      <c r="L11" s="51"/>
      <c r="M11" s="75"/>
      <c r="N11" s="63" t="s">
        <v>299</v>
      </c>
      <c r="O11" s="52"/>
      <c r="P11" s="49"/>
      <c r="Q11" s="53"/>
      <c r="R11" s="84"/>
    </row>
    <row r="12" spans="1:19" ht="24.95" customHeight="1" x14ac:dyDescent="0.15">
      <c r="A12" s="223"/>
      <c r="B12" s="63"/>
      <c r="C12" s="48"/>
      <c r="D12" s="49"/>
      <c r="E12" s="50"/>
      <c r="F12" s="51"/>
      <c r="G12" s="67"/>
      <c r="H12" s="71"/>
      <c r="I12" s="49"/>
      <c r="J12" s="51"/>
      <c r="K12" s="51"/>
      <c r="L12" s="51"/>
      <c r="M12" s="75"/>
      <c r="N12" s="63" t="s">
        <v>21</v>
      </c>
      <c r="O12" s="52"/>
      <c r="P12" s="49"/>
      <c r="Q12" s="53"/>
      <c r="R12" s="84"/>
    </row>
    <row r="13" spans="1:19" ht="24.95" customHeight="1" x14ac:dyDescent="0.15">
      <c r="A13" s="223"/>
      <c r="B13" s="63"/>
      <c r="C13" s="48"/>
      <c r="D13" s="49"/>
      <c r="E13" s="50"/>
      <c r="F13" s="51"/>
      <c r="G13" s="67"/>
      <c r="H13" s="71"/>
      <c r="I13" s="49"/>
      <c r="J13" s="51"/>
      <c r="K13" s="51"/>
      <c r="L13" s="51"/>
      <c r="M13" s="75"/>
      <c r="N13" s="63"/>
      <c r="O13" s="52"/>
      <c r="P13" s="49"/>
      <c r="Q13" s="53"/>
      <c r="R13" s="84"/>
    </row>
    <row r="14" spans="1:19" ht="24.95" customHeight="1" x14ac:dyDescent="0.15">
      <c r="A14" s="223"/>
      <c r="B14" s="62"/>
      <c r="C14" s="42"/>
      <c r="D14" s="43"/>
      <c r="E14" s="44"/>
      <c r="F14" s="45"/>
      <c r="G14" s="66"/>
      <c r="H14" s="70"/>
      <c r="I14" s="43"/>
      <c r="J14" s="45"/>
      <c r="K14" s="45"/>
      <c r="L14" s="45"/>
      <c r="M14" s="74"/>
      <c r="N14" s="62"/>
      <c r="O14" s="46"/>
      <c r="P14" s="43"/>
      <c r="Q14" s="47"/>
      <c r="R14" s="85"/>
    </row>
    <row r="15" spans="1:19" ht="24.95" customHeight="1" x14ac:dyDescent="0.15">
      <c r="A15" s="223"/>
      <c r="B15" s="63" t="s">
        <v>36</v>
      </c>
      <c r="C15" s="48" t="s">
        <v>40</v>
      </c>
      <c r="D15" s="49"/>
      <c r="E15" s="50">
        <v>5</v>
      </c>
      <c r="F15" s="51" t="s">
        <v>33</v>
      </c>
      <c r="G15" s="67"/>
      <c r="H15" s="71" t="s">
        <v>40</v>
      </c>
      <c r="I15" s="49"/>
      <c r="J15" s="51">
        <f>ROUNDUP(E15*0.75,2)</f>
        <v>3.75</v>
      </c>
      <c r="K15" s="51" t="s">
        <v>33</v>
      </c>
      <c r="L15" s="51"/>
      <c r="M15" s="75" t="e">
        <f>#REF!</f>
        <v>#REF!</v>
      </c>
      <c r="N15" s="63" t="s">
        <v>37</v>
      </c>
      <c r="O15" s="52" t="s">
        <v>44</v>
      </c>
      <c r="P15" s="49"/>
      <c r="Q15" s="53">
        <v>1</v>
      </c>
      <c r="R15" s="84">
        <f>ROUNDUP(Q15*0.75,2)</f>
        <v>0.75</v>
      </c>
    </row>
    <row r="16" spans="1:19" ht="24.95" customHeight="1" x14ac:dyDescent="0.15">
      <c r="A16" s="223"/>
      <c r="B16" s="63"/>
      <c r="C16" s="48" t="s">
        <v>41</v>
      </c>
      <c r="D16" s="49"/>
      <c r="E16" s="50">
        <v>10</v>
      </c>
      <c r="F16" s="51" t="s">
        <v>33</v>
      </c>
      <c r="G16" s="67"/>
      <c r="H16" s="71" t="s">
        <v>41</v>
      </c>
      <c r="I16" s="49"/>
      <c r="J16" s="51">
        <f>ROUNDUP(E16*0.75,2)</f>
        <v>7.5</v>
      </c>
      <c r="K16" s="51" t="s">
        <v>33</v>
      </c>
      <c r="L16" s="51"/>
      <c r="M16" s="75" t="e">
        <f>ROUND(#REF!+(#REF!*3/100),2)</f>
        <v>#REF!</v>
      </c>
      <c r="N16" s="63" t="s">
        <v>38</v>
      </c>
      <c r="O16" s="52" t="s">
        <v>45</v>
      </c>
      <c r="P16" s="49"/>
      <c r="Q16" s="53">
        <v>20</v>
      </c>
      <c r="R16" s="84">
        <f>ROUNDUP(Q16*0.75,2)</f>
        <v>15</v>
      </c>
    </row>
    <row r="17" spans="1:18" ht="24.95" customHeight="1" x14ac:dyDescent="0.15">
      <c r="A17" s="223"/>
      <c r="B17" s="63"/>
      <c r="C17" s="48" t="s">
        <v>42</v>
      </c>
      <c r="D17" s="49"/>
      <c r="E17" s="50">
        <v>5</v>
      </c>
      <c r="F17" s="51" t="s">
        <v>33</v>
      </c>
      <c r="G17" s="67" t="s">
        <v>43</v>
      </c>
      <c r="H17" s="71" t="s">
        <v>42</v>
      </c>
      <c r="I17" s="49"/>
      <c r="J17" s="51">
        <f>ROUNDUP(E17*0.75,2)</f>
        <v>3.75</v>
      </c>
      <c r="K17" s="51" t="s">
        <v>33</v>
      </c>
      <c r="L17" s="51" t="s">
        <v>43</v>
      </c>
      <c r="M17" s="75" t="e">
        <f>#REF!</f>
        <v>#REF!</v>
      </c>
      <c r="N17" s="63" t="s">
        <v>39</v>
      </c>
      <c r="O17" s="52" t="s">
        <v>46</v>
      </c>
      <c r="P17" s="49"/>
      <c r="Q17" s="53">
        <v>1</v>
      </c>
      <c r="R17" s="84">
        <f>ROUNDUP(Q17*0.75,2)</f>
        <v>0.75</v>
      </c>
    </row>
    <row r="18" spans="1:18" ht="24.95" customHeight="1" x14ac:dyDescent="0.15">
      <c r="A18" s="223"/>
      <c r="B18" s="63"/>
      <c r="C18" s="48"/>
      <c r="D18" s="49"/>
      <c r="E18" s="50"/>
      <c r="F18" s="51"/>
      <c r="G18" s="67"/>
      <c r="H18" s="71"/>
      <c r="I18" s="49"/>
      <c r="J18" s="51"/>
      <c r="K18" s="51"/>
      <c r="L18" s="51"/>
      <c r="M18" s="75"/>
      <c r="N18" s="63"/>
      <c r="O18" s="52" t="s">
        <v>47</v>
      </c>
      <c r="P18" s="49"/>
      <c r="Q18" s="53">
        <v>1</v>
      </c>
      <c r="R18" s="84">
        <f>ROUNDUP(Q18*0.75,2)</f>
        <v>0.75</v>
      </c>
    </row>
    <row r="19" spans="1:18" ht="24.95" customHeight="1" x14ac:dyDescent="0.15">
      <c r="A19" s="223"/>
      <c r="B19" s="63"/>
      <c r="C19" s="48"/>
      <c r="D19" s="49"/>
      <c r="E19" s="50"/>
      <c r="F19" s="51"/>
      <c r="G19" s="67"/>
      <c r="H19" s="71"/>
      <c r="I19" s="49"/>
      <c r="J19" s="51"/>
      <c r="K19" s="51"/>
      <c r="L19" s="51"/>
      <c r="M19" s="75"/>
      <c r="N19" s="63"/>
      <c r="O19" s="52" t="s">
        <v>48</v>
      </c>
      <c r="P19" s="49" t="s">
        <v>29</v>
      </c>
      <c r="Q19" s="53">
        <v>1.5</v>
      </c>
      <c r="R19" s="84">
        <f>ROUNDUP(Q19*0.75,2)</f>
        <v>1.1300000000000001</v>
      </c>
    </row>
    <row r="20" spans="1:18" ht="24.95" customHeight="1" x14ac:dyDescent="0.15">
      <c r="A20" s="223"/>
      <c r="B20" s="62"/>
      <c r="C20" s="42"/>
      <c r="D20" s="43"/>
      <c r="E20" s="44"/>
      <c r="F20" s="45"/>
      <c r="G20" s="66"/>
      <c r="H20" s="70"/>
      <c r="I20" s="43"/>
      <c r="J20" s="45"/>
      <c r="K20" s="45"/>
      <c r="L20" s="45"/>
      <c r="M20" s="74"/>
      <c r="N20" s="62"/>
      <c r="O20" s="46"/>
      <c r="P20" s="43"/>
      <c r="Q20" s="47"/>
      <c r="R20" s="85"/>
    </row>
    <row r="21" spans="1:18" ht="24.95" customHeight="1" x14ac:dyDescent="0.15">
      <c r="A21" s="223"/>
      <c r="B21" s="63" t="s">
        <v>49</v>
      </c>
      <c r="C21" s="48" t="s">
        <v>50</v>
      </c>
      <c r="D21" s="49"/>
      <c r="E21" s="50">
        <v>20</v>
      </c>
      <c r="F21" s="51" t="s">
        <v>33</v>
      </c>
      <c r="G21" s="67"/>
      <c r="H21" s="71" t="s">
        <v>50</v>
      </c>
      <c r="I21" s="49"/>
      <c r="J21" s="51">
        <f>ROUNDUP(E21*0.75,2)</f>
        <v>15</v>
      </c>
      <c r="K21" s="51" t="s">
        <v>33</v>
      </c>
      <c r="L21" s="51"/>
      <c r="M21" s="75" t="e">
        <f>ROUND(#REF!+(#REF!*6/100),2)</f>
        <v>#REF!</v>
      </c>
      <c r="N21" s="63" t="s">
        <v>39</v>
      </c>
      <c r="O21" s="52" t="s">
        <v>45</v>
      </c>
      <c r="P21" s="49"/>
      <c r="Q21" s="53">
        <v>100</v>
      </c>
      <c r="R21" s="84">
        <f>ROUNDUP(Q21*0.75,2)</f>
        <v>75</v>
      </c>
    </row>
    <row r="22" spans="1:18" ht="24.95" customHeight="1" x14ac:dyDescent="0.15">
      <c r="A22" s="223"/>
      <c r="B22" s="63"/>
      <c r="C22" s="48" t="s">
        <v>170</v>
      </c>
      <c r="D22" s="49"/>
      <c r="E22" s="50">
        <v>5</v>
      </c>
      <c r="F22" s="51" t="s">
        <v>33</v>
      </c>
      <c r="G22" s="67"/>
      <c r="H22" s="71" t="s">
        <v>170</v>
      </c>
      <c r="I22" s="49"/>
      <c r="J22" s="51">
        <f>ROUNDUP(E22*0.75,2)</f>
        <v>3.75</v>
      </c>
      <c r="K22" s="51" t="s">
        <v>33</v>
      </c>
      <c r="L22" s="51"/>
      <c r="M22" s="75" t="e">
        <f>ROUND(#REF!+(#REF!*10/100),2)</f>
        <v>#REF!</v>
      </c>
      <c r="N22" s="63"/>
      <c r="O22" s="52" t="s">
        <v>53</v>
      </c>
      <c r="P22" s="49"/>
      <c r="Q22" s="53">
        <v>3</v>
      </c>
      <c r="R22" s="84">
        <f>ROUNDUP(Q22*0.75,2)</f>
        <v>2.25</v>
      </c>
    </row>
    <row r="23" spans="1:18" ht="24.95" customHeight="1" x14ac:dyDescent="0.15">
      <c r="A23" s="223"/>
      <c r="B23" s="62"/>
      <c r="C23" s="42"/>
      <c r="D23" s="43"/>
      <c r="E23" s="44"/>
      <c r="F23" s="45"/>
      <c r="G23" s="66"/>
      <c r="H23" s="70"/>
      <c r="I23" s="43"/>
      <c r="J23" s="45"/>
      <c r="K23" s="45"/>
      <c r="L23" s="45"/>
      <c r="M23" s="74"/>
      <c r="N23" s="62"/>
      <c r="O23" s="46"/>
      <c r="P23" s="43"/>
      <c r="Q23" s="47"/>
      <c r="R23" s="85"/>
    </row>
    <row r="24" spans="1:18" ht="24.95" customHeight="1" x14ac:dyDescent="0.15">
      <c r="A24" s="223"/>
      <c r="B24" s="63" t="s">
        <v>54</v>
      </c>
      <c r="C24" s="48" t="s">
        <v>56</v>
      </c>
      <c r="D24" s="49"/>
      <c r="E24" s="54">
        <v>0.125</v>
      </c>
      <c r="F24" s="51" t="s">
        <v>57</v>
      </c>
      <c r="G24" s="67"/>
      <c r="H24" s="71" t="s">
        <v>56</v>
      </c>
      <c r="I24" s="49"/>
      <c r="J24" s="51">
        <f>ROUNDUP(E24*0.75,2)</f>
        <v>9.9999999999999992E-2</v>
      </c>
      <c r="K24" s="51" t="s">
        <v>57</v>
      </c>
      <c r="L24" s="51"/>
      <c r="M24" s="75" t="e">
        <f>#REF!</f>
        <v>#REF!</v>
      </c>
      <c r="N24" s="63" t="s">
        <v>55</v>
      </c>
      <c r="O24" s="52"/>
      <c r="P24" s="49"/>
      <c r="Q24" s="53"/>
      <c r="R24" s="84"/>
    </row>
    <row r="25" spans="1:18" ht="24.95" customHeight="1" thickBot="1" x14ac:dyDescent="0.2">
      <c r="A25" s="224"/>
      <c r="B25" s="64"/>
      <c r="C25" s="55"/>
      <c r="D25" s="56"/>
      <c r="E25" s="57"/>
      <c r="F25" s="58"/>
      <c r="G25" s="68"/>
      <c r="H25" s="72"/>
      <c r="I25" s="56"/>
      <c r="J25" s="58"/>
      <c r="K25" s="58"/>
      <c r="L25" s="58"/>
      <c r="M25" s="76"/>
      <c r="N25" s="64"/>
      <c r="O25" s="59"/>
      <c r="P25" s="56"/>
      <c r="Q25" s="60"/>
      <c r="R25" s="86"/>
    </row>
    <row r="26" spans="1:18" ht="20.100000000000001" customHeight="1" x14ac:dyDescent="0.15"/>
    <row r="27" spans="1:18" ht="20.100000000000001" customHeight="1" x14ac:dyDescent="0.15"/>
    <row r="28" spans="1:18" ht="20.100000000000001" customHeight="1" x14ac:dyDescent="0.15"/>
    <row r="29" spans="1:18" ht="20.100000000000001" customHeight="1" x14ac:dyDescent="0.15"/>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275</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87</v>
      </c>
      <c r="C5" s="36" t="s">
        <v>93</v>
      </c>
      <c r="D5" s="37" t="s">
        <v>96</v>
      </c>
      <c r="E5" s="38">
        <v>40</v>
      </c>
      <c r="F5" s="39" t="s">
        <v>33</v>
      </c>
      <c r="G5" s="65" t="s">
        <v>94</v>
      </c>
      <c r="H5" s="69" t="s">
        <v>93</v>
      </c>
      <c r="I5" s="37" t="s">
        <v>96</v>
      </c>
      <c r="J5" s="39">
        <f t="shared" ref="J5:J10" si="0">ROUNDUP(E5*0.75,2)</f>
        <v>30</v>
      </c>
      <c r="K5" s="39" t="s">
        <v>33</v>
      </c>
      <c r="L5" s="39" t="s">
        <v>94</v>
      </c>
      <c r="M5" s="73" t="e">
        <f>#REF!</f>
        <v>#REF!</v>
      </c>
      <c r="N5" s="61" t="s">
        <v>88</v>
      </c>
      <c r="O5" s="40" t="s">
        <v>45</v>
      </c>
      <c r="P5" s="37"/>
      <c r="Q5" s="41">
        <v>180</v>
      </c>
      <c r="R5" s="83">
        <f>ROUNDUP(Q5*0.75,2)</f>
        <v>135</v>
      </c>
    </row>
    <row r="6" spans="1:19" ht="24.95" customHeight="1" x14ac:dyDescent="0.15">
      <c r="A6" s="223"/>
      <c r="B6" s="63"/>
      <c r="C6" s="48" t="s">
        <v>70</v>
      </c>
      <c r="D6" s="49"/>
      <c r="E6" s="50">
        <v>30</v>
      </c>
      <c r="F6" s="51" t="s">
        <v>33</v>
      </c>
      <c r="G6" s="67" t="s">
        <v>71</v>
      </c>
      <c r="H6" s="71" t="s">
        <v>70</v>
      </c>
      <c r="I6" s="49"/>
      <c r="J6" s="51">
        <f t="shared" si="0"/>
        <v>22.5</v>
      </c>
      <c r="K6" s="51" t="s">
        <v>33</v>
      </c>
      <c r="L6" s="51" t="s">
        <v>71</v>
      </c>
      <c r="M6" s="75" t="e">
        <f>#REF!</f>
        <v>#REF!</v>
      </c>
      <c r="N6" s="63" t="s">
        <v>89</v>
      </c>
      <c r="O6" s="52" t="s">
        <v>53</v>
      </c>
      <c r="P6" s="49"/>
      <c r="Q6" s="53">
        <v>5</v>
      </c>
      <c r="R6" s="84">
        <f>ROUNDUP(Q6*0.75,2)</f>
        <v>3.75</v>
      </c>
    </row>
    <row r="7" spans="1:19" ht="24.95" customHeight="1" x14ac:dyDescent="0.15">
      <c r="A7" s="223"/>
      <c r="B7" s="63"/>
      <c r="C7" s="48" t="s">
        <v>42</v>
      </c>
      <c r="D7" s="49"/>
      <c r="E7" s="50">
        <v>10</v>
      </c>
      <c r="F7" s="51" t="s">
        <v>33</v>
      </c>
      <c r="G7" s="67" t="s">
        <v>43</v>
      </c>
      <c r="H7" s="71" t="s">
        <v>42</v>
      </c>
      <c r="I7" s="49"/>
      <c r="J7" s="51">
        <f t="shared" si="0"/>
        <v>7.5</v>
      </c>
      <c r="K7" s="51" t="s">
        <v>33</v>
      </c>
      <c r="L7" s="51" t="s">
        <v>43</v>
      </c>
      <c r="M7" s="75" t="e">
        <f>#REF!</f>
        <v>#REF!</v>
      </c>
      <c r="N7" s="63" t="s">
        <v>90</v>
      </c>
      <c r="O7" s="52"/>
      <c r="P7" s="49"/>
      <c r="Q7" s="53"/>
      <c r="R7" s="84"/>
    </row>
    <row r="8" spans="1:19" ht="24.95" customHeight="1" x14ac:dyDescent="0.15">
      <c r="A8" s="223"/>
      <c r="B8" s="63"/>
      <c r="C8" s="48" t="s">
        <v>97</v>
      </c>
      <c r="D8" s="49"/>
      <c r="E8" s="50">
        <v>10</v>
      </c>
      <c r="F8" s="51" t="s">
        <v>33</v>
      </c>
      <c r="G8" s="67"/>
      <c r="H8" s="71" t="s">
        <v>97</v>
      </c>
      <c r="I8" s="49"/>
      <c r="J8" s="51">
        <f t="shared" si="0"/>
        <v>7.5</v>
      </c>
      <c r="K8" s="51" t="s">
        <v>33</v>
      </c>
      <c r="L8" s="51"/>
      <c r="M8" s="75" t="e">
        <f>ROUND(#REF!+(#REF!*10/100),2)</f>
        <v>#REF!</v>
      </c>
      <c r="N8" s="63" t="s">
        <v>91</v>
      </c>
      <c r="O8" s="52"/>
      <c r="P8" s="49"/>
      <c r="Q8" s="53"/>
      <c r="R8" s="84"/>
    </row>
    <row r="9" spans="1:19" ht="24.95" customHeight="1" x14ac:dyDescent="0.15">
      <c r="A9" s="223"/>
      <c r="B9" s="63"/>
      <c r="C9" s="48" t="s">
        <v>98</v>
      </c>
      <c r="D9" s="49"/>
      <c r="E9" s="50">
        <v>30</v>
      </c>
      <c r="F9" s="51" t="s">
        <v>33</v>
      </c>
      <c r="G9" s="67"/>
      <c r="H9" s="71" t="s">
        <v>98</v>
      </c>
      <c r="I9" s="49"/>
      <c r="J9" s="51">
        <f t="shared" si="0"/>
        <v>22.5</v>
      </c>
      <c r="K9" s="51" t="s">
        <v>33</v>
      </c>
      <c r="L9" s="51"/>
      <c r="M9" s="75" t="e">
        <f>ROUND(#REF!+(#REF!*10/100),2)</f>
        <v>#REF!</v>
      </c>
      <c r="N9" s="63" t="s">
        <v>92</v>
      </c>
      <c r="O9" s="52"/>
      <c r="P9" s="49"/>
      <c r="Q9" s="53"/>
      <c r="R9" s="84"/>
    </row>
    <row r="10" spans="1:19" ht="24.95" customHeight="1" x14ac:dyDescent="0.15">
      <c r="A10" s="223"/>
      <c r="B10" s="63"/>
      <c r="C10" s="48" t="s">
        <v>99</v>
      </c>
      <c r="D10" s="49"/>
      <c r="E10" s="50">
        <v>10</v>
      </c>
      <c r="F10" s="51" t="s">
        <v>33</v>
      </c>
      <c r="G10" s="67"/>
      <c r="H10" s="71" t="s">
        <v>99</v>
      </c>
      <c r="I10" s="49"/>
      <c r="J10" s="51">
        <f t="shared" si="0"/>
        <v>7.5</v>
      </c>
      <c r="K10" s="51" t="s">
        <v>33</v>
      </c>
      <c r="L10" s="51"/>
      <c r="M10" s="75" t="e">
        <f>ROUND(#REF!+(#REF!*15/100),2)</f>
        <v>#REF!</v>
      </c>
      <c r="N10" s="63" t="s">
        <v>39</v>
      </c>
      <c r="O10" s="52"/>
      <c r="P10" s="49"/>
      <c r="Q10" s="53"/>
      <c r="R10" s="84"/>
    </row>
    <row r="11" spans="1:19" ht="24.95" customHeight="1" x14ac:dyDescent="0.15">
      <c r="A11" s="223"/>
      <c r="B11" s="62"/>
      <c r="C11" s="42"/>
      <c r="D11" s="43"/>
      <c r="E11" s="44"/>
      <c r="F11" s="45"/>
      <c r="G11" s="66"/>
      <c r="H11" s="70"/>
      <c r="I11" s="43"/>
      <c r="J11" s="45"/>
      <c r="K11" s="45"/>
      <c r="L11" s="45"/>
      <c r="M11" s="74"/>
      <c r="N11" s="62"/>
      <c r="O11" s="46"/>
      <c r="P11" s="43"/>
      <c r="Q11" s="47"/>
      <c r="R11" s="85"/>
    </row>
    <row r="12" spans="1:19" ht="24.95" customHeight="1" x14ac:dyDescent="0.15">
      <c r="A12" s="223"/>
      <c r="B12" s="63" t="s">
        <v>100</v>
      </c>
      <c r="C12" s="48" t="s">
        <v>105</v>
      </c>
      <c r="D12" s="49"/>
      <c r="E12" s="50">
        <v>5</v>
      </c>
      <c r="F12" s="51" t="s">
        <v>33</v>
      </c>
      <c r="G12" s="67" t="s">
        <v>71</v>
      </c>
      <c r="H12" s="71" t="s">
        <v>105</v>
      </c>
      <c r="I12" s="49"/>
      <c r="J12" s="51">
        <f>ROUNDUP(E12*0.75,2)</f>
        <v>3.75</v>
      </c>
      <c r="K12" s="51" t="s">
        <v>33</v>
      </c>
      <c r="L12" s="51" t="s">
        <v>71</v>
      </c>
      <c r="M12" s="75" t="e">
        <f>#REF!</f>
        <v>#REF!</v>
      </c>
      <c r="N12" s="63" t="s">
        <v>101</v>
      </c>
      <c r="O12" s="52" t="s">
        <v>30</v>
      </c>
      <c r="P12" s="49"/>
      <c r="Q12" s="53">
        <v>2</v>
      </c>
      <c r="R12" s="84">
        <f t="shared" ref="R12:R17" si="1">ROUNDUP(Q12*0.75,2)</f>
        <v>1.5</v>
      </c>
    </row>
    <row r="13" spans="1:19" ht="24.95" customHeight="1" x14ac:dyDescent="0.15">
      <c r="A13" s="223"/>
      <c r="B13" s="63"/>
      <c r="C13" s="48" t="s">
        <v>106</v>
      </c>
      <c r="D13" s="49"/>
      <c r="E13" s="50">
        <v>1</v>
      </c>
      <c r="F13" s="51" t="s">
        <v>33</v>
      </c>
      <c r="G13" s="67" t="s">
        <v>107</v>
      </c>
      <c r="H13" s="71" t="s">
        <v>106</v>
      </c>
      <c r="I13" s="49"/>
      <c r="J13" s="51">
        <f>ROUNDUP(E13*0.75,2)</f>
        <v>0.75</v>
      </c>
      <c r="K13" s="51" t="s">
        <v>33</v>
      </c>
      <c r="L13" s="51" t="s">
        <v>107</v>
      </c>
      <c r="M13" s="75" t="e">
        <f>#REF!</f>
        <v>#REF!</v>
      </c>
      <c r="N13" s="63" t="s">
        <v>102</v>
      </c>
      <c r="O13" s="52" t="s">
        <v>45</v>
      </c>
      <c r="P13" s="49"/>
      <c r="Q13" s="53">
        <v>50</v>
      </c>
      <c r="R13" s="84">
        <f t="shared" si="1"/>
        <v>37.5</v>
      </c>
    </row>
    <row r="14" spans="1:19" ht="24.95" customHeight="1" x14ac:dyDescent="0.15">
      <c r="A14" s="223"/>
      <c r="B14" s="63"/>
      <c r="C14" s="48" t="s">
        <v>41</v>
      </c>
      <c r="D14" s="49"/>
      <c r="E14" s="50">
        <v>10</v>
      </c>
      <c r="F14" s="51" t="s">
        <v>33</v>
      </c>
      <c r="G14" s="67"/>
      <c r="H14" s="71" t="s">
        <v>41</v>
      </c>
      <c r="I14" s="49"/>
      <c r="J14" s="51">
        <f>ROUNDUP(E14*0.75,2)</f>
        <v>7.5</v>
      </c>
      <c r="K14" s="51" t="s">
        <v>33</v>
      </c>
      <c r="L14" s="51"/>
      <c r="M14" s="75" t="e">
        <f>ROUND(#REF!+(#REF!*3/100),2)</f>
        <v>#REF!</v>
      </c>
      <c r="N14" s="63" t="s">
        <v>103</v>
      </c>
      <c r="O14" s="52" t="s">
        <v>47</v>
      </c>
      <c r="P14" s="49"/>
      <c r="Q14" s="53">
        <v>1.5</v>
      </c>
      <c r="R14" s="84">
        <f t="shared" si="1"/>
        <v>1.1300000000000001</v>
      </c>
    </row>
    <row r="15" spans="1:19" ht="24.95" customHeight="1" x14ac:dyDescent="0.15">
      <c r="A15" s="223"/>
      <c r="B15" s="63"/>
      <c r="C15" s="48" t="s">
        <v>108</v>
      </c>
      <c r="D15" s="49"/>
      <c r="E15" s="50">
        <v>5</v>
      </c>
      <c r="F15" s="51" t="s">
        <v>33</v>
      </c>
      <c r="G15" s="67" t="s">
        <v>81</v>
      </c>
      <c r="H15" s="71" t="s">
        <v>108</v>
      </c>
      <c r="I15" s="49"/>
      <c r="J15" s="51">
        <f>ROUNDUP(E15*0.75,2)</f>
        <v>3.75</v>
      </c>
      <c r="K15" s="51" t="s">
        <v>33</v>
      </c>
      <c r="L15" s="51" t="s">
        <v>81</v>
      </c>
      <c r="M15" s="75" t="e">
        <f>#REF!</f>
        <v>#REF!</v>
      </c>
      <c r="N15" s="63" t="s">
        <v>104</v>
      </c>
      <c r="O15" s="52" t="s">
        <v>109</v>
      </c>
      <c r="P15" s="49"/>
      <c r="Q15" s="53">
        <v>1</v>
      </c>
      <c r="R15" s="84">
        <f t="shared" si="1"/>
        <v>0.75</v>
      </c>
    </row>
    <row r="16" spans="1:19" ht="24.95" customHeight="1" x14ac:dyDescent="0.15">
      <c r="A16" s="223"/>
      <c r="B16" s="63"/>
      <c r="C16" s="48"/>
      <c r="D16" s="49"/>
      <c r="E16" s="50"/>
      <c r="F16" s="51"/>
      <c r="G16" s="67"/>
      <c r="H16" s="71"/>
      <c r="I16" s="49"/>
      <c r="J16" s="51"/>
      <c r="K16" s="51"/>
      <c r="L16" s="51"/>
      <c r="M16" s="75"/>
      <c r="N16" s="63" t="s">
        <v>21</v>
      </c>
      <c r="O16" s="52" t="s">
        <v>46</v>
      </c>
      <c r="P16" s="49"/>
      <c r="Q16" s="53">
        <v>1</v>
      </c>
      <c r="R16" s="84">
        <f t="shared" si="1"/>
        <v>0.75</v>
      </c>
    </row>
    <row r="17" spans="1:18" ht="24.95" customHeight="1" x14ac:dyDescent="0.15">
      <c r="A17" s="223"/>
      <c r="B17" s="63"/>
      <c r="C17" s="48"/>
      <c r="D17" s="49"/>
      <c r="E17" s="50"/>
      <c r="F17" s="51"/>
      <c r="G17" s="67"/>
      <c r="H17" s="71"/>
      <c r="I17" s="49"/>
      <c r="J17" s="51"/>
      <c r="K17" s="51"/>
      <c r="L17" s="51"/>
      <c r="M17" s="75"/>
      <c r="N17" s="63"/>
      <c r="O17" s="52" t="s">
        <v>48</v>
      </c>
      <c r="P17" s="49" t="s">
        <v>29</v>
      </c>
      <c r="Q17" s="53">
        <v>1.5</v>
      </c>
      <c r="R17" s="84">
        <f t="shared" si="1"/>
        <v>1.1300000000000001</v>
      </c>
    </row>
    <row r="18" spans="1:18" ht="24.95" customHeight="1" x14ac:dyDescent="0.15">
      <c r="A18" s="223"/>
      <c r="B18" s="62"/>
      <c r="C18" s="42"/>
      <c r="D18" s="43"/>
      <c r="E18" s="44"/>
      <c r="F18" s="45"/>
      <c r="G18" s="66"/>
      <c r="H18" s="70"/>
      <c r="I18" s="43"/>
      <c r="J18" s="45"/>
      <c r="K18" s="45"/>
      <c r="L18" s="45"/>
      <c r="M18" s="74"/>
      <c r="N18" s="62"/>
      <c r="O18" s="46"/>
      <c r="P18" s="43"/>
      <c r="Q18" s="47"/>
      <c r="R18" s="85"/>
    </row>
    <row r="19" spans="1:18" ht="24.95" customHeight="1" x14ac:dyDescent="0.15">
      <c r="A19" s="223"/>
      <c r="B19" s="63" t="s">
        <v>110</v>
      </c>
      <c r="C19" s="48" t="s">
        <v>111</v>
      </c>
      <c r="D19" s="49"/>
      <c r="E19" s="77">
        <v>0.25</v>
      </c>
      <c r="F19" s="51" t="s">
        <v>112</v>
      </c>
      <c r="G19" s="67"/>
      <c r="H19" s="71" t="s">
        <v>111</v>
      </c>
      <c r="I19" s="49"/>
      <c r="J19" s="51">
        <f>ROUNDUP(E19*0.75,2)</f>
        <v>0.19</v>
      </c>
      <c r="K19" s="51" t="s">
        <v>112</v>
      </c>
      <c r="L19" s="51"/>
      <c r="M19" s="75" t="e">
        <f>#REF!</f>
        <v>#REF!</v>
      </c>
      <c r="N19" s="63" t="s">
        <v>55</v>
      </c>
      <c r="O19" s="52"/>
      <c r="P19" s="49"/>
      <c r="Q19" s="53"/>
      <c r="R19" s="84"/>
    </row>
    <row r="20" spans="1:18" ht="24.95" customHeight="1" thickBot="1" x14ac:dyDescent="0.2">
      <c r="A20" s="224"/>
      <c r="B20" s="64"/>
      <c r="C20" s="55"/>
      <c r="D20" s="56"/>
      <c r="E20" s="57"/>
      <c r="F20" s="58"/>
      <c r="G20" s="68"/>
      <c r="H20" s="72"/>
      <c r="I20" s="56"/>
      <c r="J20" s="58"/>
      <c r="K20" s="58"/>
      <c r="L20" s="58"/>
      <c r="M20" s="76"/>
      <c r="N20" s="64"/>
      <c r="O20" s="59"/>
      <c r="P20" s="56"/>
      <c r="Q20" s="60"/>
      <c r="R20" s="86"/>
    </row>
    <row r="21" spans="1:18" ht="20.100000000000001" customHeight="1" x14ac:dyDescent="0.15"/>
    <row r="22" spans="1:18" ht="20.100000000000001" customHeight="1" x14ac:dyDescent="0.15"/>
    <row r="23" spans="1:18" ht="20.100000000000001" customHeight="1" x14ac:dyDescent="0.15"/>
    <row r="24" spans="1:18" ht="20.100000000000001" customHeight="1" x14ac:dyDescent="0.15"/>
    <row r="25" spans="1:18" ht="20.100000000000001" customHeight="1" x14ac:dyDescent="0.15"/>
    <row r="26" spans="1:18" ht="20.100000000000001" customHeight="1" x14ac:dyDescent="0.15"/>
    <row r="27" spans="1:18" ht="20.100000000000001" customHeight="1" x14ac:dyDescent="0.15"/>
    <row r="28" spans="1:18" ht="20.100000000000001" customHeight="1" x14ac:dyDescent="0.15"/>
    <row r="29" spans="1:18" ht="20.100000000000001" customHeight="1" x14ac:dyDescent="0.15"/>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2.5" customHeight="1" x14ac:dyDescent="0.15">
      <c r="A3" s="5"/>
      <c r="B3" s="225" t="s">
        <v>311</v>
      </c>
      <c r="C3" s="225"/>
      <c r="D3" s="3"/>
      <c r="E3" s="6"/>
      <c r="F3" s="2"/>
      <c r="G3" s="2"/>
      <c r="H3" s="2"/>
      <c r="I3" s="3"/>
      <c r="J3" s="2"/>
      <c r="K3" s="7"/>
      <c r="L3" s="7"/>
      <c r="M3" s="8"/>
      <c r="N3" s="2"/>
      <c r="O3"/>
      <c r="P3"/>
      <c r="Q3"/>
      <c r="R3"/>
      <c r="S3" s="3"/>
    </row>
    <row r="4" spans="1:19" ht="22.5" customHeight="1" x14ac:dyDescent="0.15">
      <c r="A4" s="5"/>
      <c r="B4" s="225"/>
      <c r="C4" s="225"/>
      <c r="D4" s="9"/>
      <c r="E4" s="6"/>
      <c r="F4" s="2"/>
      <c r="G4" s="2"/>
      <c r="H4" s="2"/>
      <c r="I4" s="9"/>
      <c r="J4" s="2"/>
      <c r="K4" s="7"/>
      <c r="L4" s="7"/>
      <c r="M4" s="8"/>
      <c r="N4" s="2"/>
      <c r="O4"/>
      <c r="P4"/>
      <c r="Q4"/>
      <c r="R4"/>
      <c r="S4" s="3"/>
    </row>
    <row r="5" spans="1:19" ht="27.75" customHeight="1" thickBot="1" x14ac:dyDescent="0.3">
      <c r="A5" s="220" t="s">
        <v>276</v>
      </c>
      <c r="B5" s="221"/>
      <c r="C5" s="221"/>
      <c r="D5" s="221"/>
      <c r="E5" s="221"/>
      <c r="F5" s="221"/>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4.95" customHeight="1" x14ac:dyDescent="0.15">
      <c r="A7" s="222" t="s">
        <v>58</v>
      </c>
      <c r="B7" s="61" t="s">
        <v>277</v>
      </c>
      <c r="C7" s="36" t="s">
        <v>113</v>
      </c>
      <c r="D7" s="37"/>
      <c r="E7" s="38">
        <v>30</v>
      </c>
      <c r="F7" s="39" t="s">
        <v>33</v>
      </c>
      <c r="G7" s="65" t="s">
        <v>71</v>
      </c>
      <c r="H7" s="69" t="s">
        <v>113</v>
      </c>
      <c r="I7" s="37"/>
      <c r="J7" s="39">
        <f t="shared" ref="J7:J12" si="0">ROUNDUP(E7*0.75,2)</f>
        <v>22.5</v>
      </c>
      <c r="K7" s="39" t="s">
        <v>33</v>
      </c>
      <c r="L7" s="39" t="s">
        <v>71</v>
      </c>
      <c r="M7" s="73" t="e">
        <f>#REF!</f>
        <v>#REF!</v>
      </c>
      <c r="N7" s="61" t="s">
        <v>278</v>
      </c>
      <c r="O7" s="40" t="s">
        <v>15</v>
      </c>
      <c r="P7" s="37"/>
      <c r="Q7" s="41">
        <v>110</v>
      </c>
      <c r="R7" s="83">
        <f>ROUNDUP(Q7*0.75,2)</f>
        <v>82.5</v>
      </c>
    </row>
    <row r="8" spans="1:19" ht="24.95" customHeight="1" x14ac:dyDescent="0.15">
      <c r="A8" s="223"/>
      <c r="B8" s="63"/>
      <c r="C8" s="48" t="s">
        <v>41</v>
      </c>
      <c r="D8" s="49"/>
      <c r="E8" s="50">
        <v>5</v>
      </c>
      <c r="F8" s="51" t="s">
        <v>33</v>
      </c>
      <c r="G8" s="67"/>
      <c r="H8" s="71" t="s">
        <v>41</v>
      </c>
      <c r="I8" s="49"/>
      <c r="J8" s="51">
        <f t="shared" si="0"/>
        <v>3.75</v>
      </c>
      <c r="K8" s="51" t="s">
        <v>33</v>
      </c>
      <c r="L8" s="51"/>
      <c r="M8" s="75" t="e">
        <f>ROUND(#REF!+(#REF!*3/100),2)</f>
        <v>#REF!</v>
      </c>
      <c r="N8" s="63" t="s">
        <v>237</v>
      </c>
      <c r="O8" s="52" t="s">
        <v>109</v>
      </c>
      <c r="P8" s="49"/>
      <c r="Q8" s="53">
        <v>0.5</v>
      </c>
      <c r="R8" s="84">
        <f>ROUNDUP(Q8*0.75,2)</f>
        <v>0.38</v>
      </c>
    </row>
    <row r="9" spans="1:19" ht="24.95" customHeight="1" x14ac:dyDescent="0.15">
      <c r="A9" s="223"/>
      <c r="B9" s="63"/>
      <c r="C9" s="48" t="s">
        <v>50</v>
      </c>
      <c r="D9" s="49"/>
      <c r="E9" s="50">
        <v>50</v>
      </c>
      <c r="F9" s="51" t="s">
        <v>33</v>
      </c>
      <c r="G9" s="67"/>
      <c r="H9" s="71" t="s">
        <v>50</v>
      </c>
      <c r="I9" s="49"/>
      <c r="J9" s="51">
        <f t="shared" si="0"/>
        <v>37.5</v>
      </c>
      <c r="K9" s="51" t="s">
        <v>33</v>
      </c>
      <c r="L9" s="51"/>
      <c r="M9" s="75" t="e">
        <f>ROUND(#REF!+(#REF!*6/100),2)</f>
        <v>#REF!</v>
      </c>
      <c r="N9" s="63" t="s">
        <v>279</v>
      </c>
      <c r="O9" s="52" t="s">
        <v>30</v>
      </c>
      <c r="P9" s="49"/>
      <c r="Q9" s="53">
        <v>1</v>
      </c>
      <c r="R9" s="84">
        <f>ROUNDUP(Q9*0.75,2)</f>
        <v>0.75</v>
      </c>
    </row>
    <row r="10" spans="1:19" ht="24.95" customHeight="1" x14ac:dyDescent="0.15">
      <c r="A10" s="223"/>
      <c r="B10" s="63"/>
      <c r="C10" s="48" t="s">
        <v>133</v>
      </c>
      <c r="D10" s="49"/>
      <c r="E10" s="50">
        <v>50</v>
      </c>
      <c r="F10" s="51" t="s">
        <v>33</v>
      </c>
      <c r="G10" s="67"/>
      <c r="H10" s="71" t="s">
        <v>133</v>
      </c>
      <c r="I10" s="49"/>
      <c r="J10" s="51">
        <f t="shared" si="0"/>
        <v>37.5</v>
      </c>
      <c r="K10" s="51" t="s">
        <v>33</v>
      </c>
      <c r="L10" s="51"/>
      <c r="M10" s="75" t="e">
        <f>#REF!</f>
        <v>#REF!</v>
      </c>
      <c r="N10" s="63" t="s">
        <v>280</v>
      </c>
      <c r="O10" s="52" t="s">
        <v>82</v>
      </c>
      <c r="P10" s="49"/>
      <c r="Q10" s="53">
        <v>30</v>
      </c>
      <c r="R10" s="84">
        <f>ROUNDUP(Q10*0.75,2)</f>
        <v>22.5</v>
      </c>
    </row>
    <row r="11" spans="1:19" ht="24.95" customHeight="1" x14ac:dyDescent="0.15">
      <c r="A11" s="223"/>
      <c r="B11" s="63"/>
      <c r="C11" s="48" t="s">
        <v>134</v>
      </c>
      <c r="D11" s="49" t="s">
        <v>135</v>
      </c>
      <c r="E11" s="50">
        <v>10</v>
      </c>
      <c r="F11" s="51" t="s">
        <v>33</v>
      </c>
      <c r="G11" s="67"/>
      <c r="H11" s="71" t="s">
        <v>134</v>
      </c>
      <c r="I11" s="49" t="s">
        <v>135</v>
      </c>
      <c r="J11" s="51">
        <f t="shared" si="0"/>
        <v>7.5</v>
      </c>
      <c r="K11" s="51" t="s">
        <v>33</v>
      </c>
      <c r="L11" s="51"/>
      <c r="M11" s="75" t="e">
        <f>#REF!</f>
        <v>#REF!</v>
      </c>
      <c r="N11" s="63" t="s">
        <v>293</v>
      </c>
      <c r="O11" s="52" t="s">
        <v>46</v>
      </c>
      <c r="P11" s="49"/>
      <c r="Q11" s="53">
        <v>1</v>
      </c>
      <c r="R11" s="84">
        <f>ROUNDUP(Q11*0.75,2)</f>
        <v>0.75</v>
      </c>
    </row>
    <row r="12" spans="1:19" ht="24.95" customHeight="1" x14ac:dyDescent="0.15">
      <c r="A12" s="223"/>
      <c r="B12" s="63"/>
      <c r="C12" s="48" t="s">
        <v>80</v>
      </c>
      <c r="D12" s="49"/>
      <c r="E12" s="50">
        <v>3</v>
      </c>
      <c r="F12" s="51" t="s">
        <v>33</v>
      </c>
      <c r="G12" s="67" t="s">
        <v>81</v>
      </c>
      <c r="H12" s="71" t="s">
        <v>80</v>
      </c>
      <c r="I12" s="49"/>
      <c r="J12" s="51">
        <f t="shared" si="0"/>
        <v>2.25</v>
      </c>
      <c r="K12" s="51" t="s">
        <v>33</v>
      </c>
      <c r="L12" s="51" t="s">
        <v>81</v>
      </c>
      <c r="M12" s="75" t="e">
        <f>#REF!</f>
        <v>#REF!</v>
      </c>
      <c r="N12" s="63" t="s">
        <v>294</v>
      </c>
      <c r="O12" s="52"/>
      <c r="P12" s="49"/>
      <c r="Q12" s="53"/>
      <c r="R12" s="84"/>
    </row>
    <row r="13" spans="1:19" ht="24.95" customHeight="1" x14ac:dyDescent="0.15">
      <c r="A13" s="223"/>
      <c r="B13" s="63"/>
      <c r="C13" s="48"/>
      <c r="D13" s="49"/>
      <c r="E13" s="50"/>
      <c r="F13" s="51"/>
      <c r="G13" s="67"/>
      <c r="H13" s="71"/>
      <c r="I13" s="49"/>
      <c r="J13" s="51"/>
      <c r="K13" s="51"/>
      <c r="L13" s="51"/>
      <c r="M13" s="75"/>
      <c r="N13" s="63" t="s">
        <v>132</v>
      </c>
      <c r="O13" s="52"/>
      <c r="P13" s="49"/>
      <c r="Q13" s="53"/>
      <c r="R13" s="84"/>
    </row>
    <row r="14" spans="1:19" ht="24.95" customHeight="1" x14ac:dyDescent="0.15">
      <c r="A14" s="223"/>
      <c r="B14" s="63"/>
      <c r="C14" s="48"/>
      <c r="D14" s="49"/>
      <c r="E14" s="50"/>
      <c r="F14" s="51"/>
      <c r="G14" s="67"/>
      <c r="H14" s="71"/>
      <c r="I14" s="49"/>
      <c r="J14" s="51"/>
      <c r="K14" s="51"/>
      <c r="L14" s="51"/>
      <c r="M14" s="75"/>
      <c r="N14" s="63" t="s">
        <v>281</v>
      </c>
      <c r="O14" s="52"/>
      <c r="P14" s="49"/>
      <c r="Q14" s="53"/>
      <c r="R14" s="84"/>
    </row>
    <row r="15" spans="1:19" ht="24.95" customHeight="1" x14ac:dyDescent="0.15">
      <c r="A15" s="223"/>
      <c r="B15" s="63"/>
      <c r="C15" s="48"/>
      <c r="D15" s="49"/>
      <c r="E15" s="50"/>
      <c r="F15" s="51"/>
      <c r="G15" s="67"/>
      <c r="H15" s="71"/>
      <c r="I15" s="49"/>
      <c r="J15" s="51"/>
      <c r="K15" s="51"/>
      <c r="L15" s="51"/>
      <c r="M15" s="75"/>
      <c r="N15" s="63" t="s">
        <v>21</v>
      </c>
      <c r="O15" s="52"/>
      <c r="P15" s="49"/>
      <c r="Q15" s="53"/>
      <c r="R15" s="84"/>
    </row>
    <row r="16" spans="1:19" ht="24.95" customHeight="1" x14ac:dyDescent="0.15">
      <c r="A16" s="223"/>
      <c r="B16" s="62"/>
      <c r="C16" s="42"/>
      <c r="D16" s="43"/>
      <c r="E16" s="44"/>
      <c r="F16" s="45"/>
      <c r="G16" s="66"/>
      <c r="H16" s="70"/>
      <c r="I16" s="43"/>
      <c r="J16" s="45"/>
      <c r="K16" s="45"/>
      <c r="L16" s="45"/>
      <c r="M16" s="74"/>
      <c r="N16" s="62"/>
      <c r="O16" s="46"/>
      <c r="P16" s="43"/>
      <c r="Q16" s="47"/>
      <c r="R16" s="85"/>
    </row>
    <row r="17" spans="1:18" ht="24.95" customHeight="1" x14ac:dyDescent="0.15">
      <c r="A17" s="223"/>
      <c r="B17" s="63" t="s">
        <v>136</v>
      </c>
      <c r="C17" s="48" t="s">
        <v>138</v>
      </c>
      <c r="D17" s="49"/>
      <c r="E17" s="50">
        <v>40</v>
      </c>
      <c r="F17" s="51" t="s">
        <v>33</v>
      </c>
      <c r="G17" s="67"/>
      <c r="H17" s="71" t="s">
        <v>138</v>
      </c>
      <c r="I17" s="49"/>
      <c r="J17" s="51">
        <f>ROUNDUP(E17*0.75,2)</f>
        <v>30</v>
      </c>
      <c r="K17" s="51" t="s">
        <v>33</v>
      </c>
      <c r="L17" s="51"/>
      <c r="M17" s="75" t="e">
        <f>ROUND(#REF!+(#REF!*10/100),2)</f>
        <v>#REF!</v>
      </c>
      <c r="N17" s="63" t="s">
        <v>282</v>
      </c>
      <c r="O17" s="52" t="s">
        <v>27</v>
      </c>
      <c r="P17" s="49"/>
      <c r="Q17" s="53">
        <v>0.1</v>
      </c>
      <c r="R17" s="84">
        <f>ROUNDUP(Q17*0.75,2)</f>
        <v>0.08</v>
      </c>
    </row>
    <row r="18" spans="1:18" ht="24.95" customHeight="1" x14ac:dyDescent="0.15">
      <c r="A18" s="223"/>
      <c r="B18" s="63"/>
      <c r="C18" s="48" t="s">
        <v>68</v>
      </c>
      <c r="D18" s="49" t="s">
        <v>69</v>
      </c>
      <c r="E18" s="79">
        <v>0.5</v>
      </c>
      <c r="F18" s="51" t="s">
        <v>57</v>
      </c>
      <c r="G18" s="67"/>
      <c r="H18" s="71" t="s">
        <v>68</v>
      </c>
      <c r="I18" s="49" t="s">
        <v>69</v>
      </c>
      <c r="J18" s="51">
        <f>ROUNDUP(E18*0.75,2)</f>
        <v>0.38</v>
      </c>
      <c r="K18" s="51" t="s">
        <v>57</v>
      </c>
      <c r="L18" s="51"/>
      <c r="M18" s="75" t="e">
        <f>#REF!</f>
        <v>#REF!</v>
      </c>
      <c r="N18" s="63" t="s">
        <v>301</v>
      </c>
      <c r="O18" s="52" t="s">
        <v>46</v>
      </c>
      <c r="P18" s="49"/>
      <c r="Q18" s="53">
        <v>0.3</v>
      </c>
      <c r="R18" s="84">
        <f>ROUNDUP(Q18*0.75,2)</f>
        <v>0.23</v>
      </c>
    </row>
    <row r="19" spans="1:18" ht="24.95" customHeight="1" x14ac:dyDescent="0.15">
      <c r="A19" s="223"/>
      <c r="B19" s="63"/>
      <c r="C19" s="48" t="s">
        <v>139</v>
      </c>
      <c r="D19" s="49"/>
      <c r="E19" s="50">
        <v>5</v>
      </c>
      <c r="F19" s="51" t="s">
        <v>33</v>
      </c>
      <c r="G19" s="67"/>
      <c r="H19" s="71" t="s">
        <v>139</v>
      </c>
      <c r="I19" s="49"/>
      <c r="J19" s="51">
        <f>ROUNDUP(E19*0.75,2)</f>
        <v>3.75</v>
      </c>
      <c r="K19" s="51" t="s">
        <v>33</v>
      </c>
      <c r="L19" s="51"/>
      <c r="M19" s="75" t="e">
        <f>ROUND(#REF!+(#REF!*2/100),2)</f>
        <v>#REF!</v>
      </c>
      <c r="N19" s="63" t="s">
        <v>137</v>
      </c>
      <c r="O19" s="52" t="s">
        <v>25</v>
      </c>
      <c r="P19" s="49" t="s">
        <v>26</v>
      </c>
      <c r="Q19" s="53">
        <v>4</v>
      </c>
      <c r="R19" s="84">
        <f>ROUNDUP(Q19*0.75,2)</f>
        <v>3</v>
      </c>
    </row>
    <row r="20" spans="1:18" ht="24.95" customHeight="1" x14ac:dyDescent="0.15">
      <c r="A20" s="223"/>
      <c r="B20" s="62"/>
      <c r="C20" s="42"/>
      <c r="D20" s="43"/>
      <c r="E20" s="44"/>
      <c r="F20" s="45"/>
      <c r="G20" s="66"/>
      <c r="H20" s="70"/>
      <c r="I20" s="43"/>
      <c r="J20" s="45"/>
      <c r="K20" s="45"/>
      <c r="L20" s="45"/>
      <c r="M20" s="74"/>
      <c r="N20" s="62" t="s">
        <v>39</v>
      </c>
      <c r="O20" s="46"/>
      <c r="P20" s="43"/>
      <c r="Q20" s="47"/>
      <c r="R20" s="85"/>
    </row>
    <row r="21" spans="1:18" ht="24.95" customHeight="1" x14ac:dyDescent="0.15">
      <c r="A21" s="223"/>
      <c r="B21" s="63" t="s">
        <v>54</v>
      </c>
      <c r="C21" s="48" t="s">
        <v>56</v>
      </c>
      <c r="D21" s="49"/>
      <c r="E21" s="54">
        <v>0.125</v>
      </c>
      <c r="F21" s="51" t="s">
        <v>57</v>
      </c>
      <c r="G21" s="67"/>
      <c r="H21" s="71" t="s">
        <v>56</v>
      </c>
      <c r="I21" s="49"/>
      <c r="J21" s="51">
        <f>ROUNDUP(E21*0.75,2)</f>
        <v>9.9999999999999992E-2</v>
      </c>
      <c r="K21" s="51" t="s">
        <v>57</v>
      </c>
      <c r="L21" s="51"/>
      <c r="M21" s="75" t="e">
        <f>#REF!</f>
        <v>#REF!</v>
      </c>
      <c r="N21" s="63" t="s">
        <v>55</v>
      </c>
      <c r="O21" s="52"/>
      <c r="P21" s="49"/>
      <c r="Q21" s="53"/>
      <c r="R21" s="84"/>
    </row>
    <row r="22" spans="1:18" ht="24.95" customHeight="1" thickBot="1" x14ac:dyDescent="0.2">
      <c r="A22" s="224"/>
      <c r="B22" s="64"/>
      <c r="C22" s="55"/>
      <c r="D22" s="56"/>
      <c r="E22" s="57"/>
      <c r="F22" s="58"/>
      <c r="G22" s="68"/>
      <c r="H22" s="72"/>
      <c r="I22" s="56"/>
      <c r="J22" s="58"/>
      <c r="K22" s="58"/>
      <c r="L22" s="58"/>
      <c r="M22" s="76"/>
      <c r="N22" s="64"/>
      <c r="O22" s="59"/>
      <c r="P22" s="56"/>
      <c r="Q22" s="60"/>
      <c r="R22" s="86"/>
    </row>
    <row r="24" spans="1:18" ht="18.75" customHeight="1" x14ac:dyDescent="0.15">
      <c r="P24" s="228" t="s">
        <v>313</v>
      </c>
      <c r="Q24" s="228"/>
      <c r="R24" s="228"/>
    </row>
  </sheetData>
  <mergeCells count="6">
    <mergeCell ref="P24:R24"/>
    <mergeCell ref="H1:N1"/>
    <mergeCell ref="A2:R2"/>
    <mergeCell ref="A5:F5"/>
    <mergeCell ref="A7:A22"/>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86</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87</v>
      </c>
      <c r="C5" s="36" t="s">
        <v>93</v>
      </c>
      <c r="D5" s="37" t="s">
        <v>95</v>
      </c>
      <c r="E5" s="38">
        <v>40</v>
      </c>
      <c r="F5" s="39" t="s">
        <v>33</v>
      </c>
      <c r="G5" s="65" t="s">
        <v>94</v>
      </c>
      <c r="H5" s="69" t="s">
        <v>93</v>
      </c>
      <c r="I5" s="37" t="s">
        <v>96</v>
      </c>
      <c r="J5" s="39">
        <f t="shared" ref="J5:J10" si="0">ROUNDUP(E5*0.75,2)</f>
        <v>30</v>
      </c>
      <c r="K5" s="39" t="s">
        <v>33</v>
      </c>
      <c r="L5" s="39" t="s">
        <v>94</v>
      </c>
      <c r="M5" s="73" t="e">
        <f>#REF!</f>
        <v>#REF!</v>
      </c>
      <c r="N5" s="61" t="s">
        <v>88</v>
      </c>
      <c r="O5" s="40" t="s">
        <v>45</v>
      </c>
      <c r="P5" s="37"/>
      <c r="Q5" s="41">
        <v>180</v>
      </c>
      <c r="R5" s="83">
        <f>ROUNDUP(Q5*0.75,2)</f>
        <v>135</v>
      </c>
    </row>
    <row r="6" spans="1:19" ht="24.95" customHeight="1" x14ac:dyDescent="0.15">
      <c r="A6" s="223"/>
      <c r="B6" s="63"/>
      <c r="C6" s="48" t="s">
        <v>70</v>
      </c>
      <c r="D6" s="49"/>
      <c r="E6" s="50">
        <v>30</v>
      </c>
      <c r="F6" s="51" t="s">
        <v>33</v>
      </c>
      <c r="G6" s="67" t="s">
        <v>71</v>
      </c>
      <c r="H6" s="71" t="s">
        <v>70</v>
      </c>
      <c r="I6" s="49"/>
      <c r="J6" s="51">
        <f t="shared" si="0"/>
        <v>22.5</v>
      </c>
      <c r="K6" s="51" t="s">
        <v>33</v>
      </c>
      <c r="L6" s="51" t="s">
        <v>71</v>
      </c>
      <c r="M6" s="75" t="e">
        <f>#REF!</f>
        <v>#REF!</v>
      </c>
      <c r="N6" s="63" t="s">
        <v>89</v>
      </c>
      <c r="O6" s="52" t="s">
        <v>53</v>
      </c>
      <c r="P6" s="49"/>
      <c r="Q6" s="53">
        <v>5</v>
      </c>
      <c r="R6" s="84">
        <f>ROUNDUP(Q6*0.75,2)</f>
        <v>3.75</v>
      </c>
    </row>
    <row r="7" spans="1:19" ht="24.95" customHeight="1" x14ac:dyDescent="0.15">
      <c r="A7" s="223"/>
      <c r="B7" s="63"/>
      <c r="C7" s="48" t="s">
        <v>42</v>
      </c>
      <c r="D7" s="49"/>
      <c r="E7" s="50">
        <v>10</v>
      </c>
      <c r="F7" s="51" t="s">
        <v>33</v>
      </c>
      <c r="G7" s="67" t="s">
        <v>43</v>
      </c>
      <c r="H7" s="71" t="s">
        <v>42</v>
      </c>
      <c r="I7" s="49"/>
      <c r="J7" s="51">
        <f t="shared" si="0"/>
        <v>7.5</v>
      </c>
      <c r="K7" s="51" t="s">
        <v>33</v>
      </c>
      <c r="L7" s="51" t="s">
        <v>43</v>
      </c>
      <c r="M7" s="75" t="e">
        <f>#REF!</f>
        <v>#REF!</v>
      </c>
      <c r="N7" s="63" t="s">
        <v>90</v>
      </c>
      <c r="O7" s="52"/>
      <c r="P7" s="49"/>
      <c r="Q7" s="53"/>
      <c r="R7" s="84"/>
    </row>
    <row r="8" spans="1:19" ht="24.95" customHeight="1" x14ac:dyDescent="0.15">
      <c r="A8" s="223"/>
      <c r="B8" s="63"/>
      <c r="C8" s="48" t="s">
        <v>97</v>
      </c>
      <c r="D8" s="49"/>
      <c r="E8" s="50">
        <v>10</v>
      </c>
      <c r="F8" s="51" t="s">
        <v>33</v>
      </c>
      <c r="G8" s="67"/>
      <c r="H8" s="71" t="s">
        <v>97</v>
      </c>
      <c r="I8" s="49"/>
      <c r="J8" s="51">
        <f t="shared" si="0"/>
        <v>7.5</v>
      </c>
      <c r="K8" s="51" t="s">
        <v>33</v>
      </c>
      <c r="L8" s="51"/>
      <c r="M8" s="75" t="e">
        <f>ROUND(#REF!+(#REF!*10/100),2)</f>
        <v>#REF!</v>
      </c>
      <c r="N8" s="63" t="s">
        <v>91</v>
      </c>
      <c r="O8" s="52"/>
      <c r="P8" s="49"/>
      <c r="Q8" s="53"/>
      <c r="R8" s="84"/>
    </row>
    <row r="9" spans="1:19" ht="24.95" customHeight="1" x14ac:dyDescent="0.15">
      <c r="A9" s="223"/>
      <c r="B9" s="63"/>
      <c r="C9" s="48" t="s">
        <v>98</v>
      </c>
      <c r="D9" s="49"/>
      <c r="E9" s="50">
        <v>30</v>
      </c>
      <c r="F9" s="51" t="s">
        <v>33</v>
      </c>
      <c r="G9" s="67"/>
      <c r="H9" s="71" t="s">
        <v>98</v>
      </c>
      <c r="I9" s="49"/>
      <c r="J9" s="51">
        <f t="shared" si="0"/>
        <v>22.5</v>
      </c>
      <c r="K9" s="51" t="s">
        <v>33</v>
      </c>
      <c r="L9" s="51"/>
      <c r="M9" s="75" t="e">
        <f>ROUND(#REF!+(#REF!*10/100),2)</f>
        <v>#REF!</v>
      </c>
      <c r="N9" s="63" t="s">
        <v>92</v>
      </c>
      <c r="O9" s="52"/>
      <c r="P9" s="49"/>
      <c r="Q9" s="53"/>
      <c r="R9" s="84"/>
    </row>
    <row r="10" spans="1:19" ht="24.95" customHeight="1" x14ac:dyDescent="0.15">
      <c r="A10" s="223"/>
      <c r="B10" s="63"/>
      <c r="C10" s="48" t="s">
        <v>99</v>
      </c>
      <c r="D10" s="49"/>
      <c r="E10" s="50">
        <v>10</v>
      </c>
      <c r="F10" s="51" t="s">
        <v>33</v>
      </c>
      <c r="G10" s="67"/>
      <c r="H10" s="71" t="s">
        <v>99</v>
      </c>
      <c r="I10" s="49"/>
      <c r="J10" s="51">
        <f t="shared" si="0"/>
        <v>7.5</v>
      </c>
      <c r="K10" s="51" t="s">
        <v>33</v>
      </c>
      <c r="L10" s="51"/>
      <c r="M10" s="75" t="e">
        <f>ROUND(#REF!+(#REF!*15/100),2)</f>
        <v>#REF!</v>
      </c>
      <c r="N10" s="63" t="s">
        <v>39</v>
      </c>
      <c r="O10" s="52"/>
      <c r="P10" s="49"/>
      <c r="Q10" s="53"/>
      <c r="R10" s="84"/>
    </row>
    <row r="11" spans="1:19" ht="24.95" customHeight="1" x14ac:dyDescent="0.15">
      <c r="A11" s="223"/>
      <c r="B11" s="62"/>
      <c r="C11" s="42"/>
      <c r="D11" s="43"/>
      <c r="E11" s="44"/>
      <c r="F11" s="45"/>
      <c r="G11" s="66"/>
      <c r="H11" s="70"/>
      <c r="I11" s="43"/>
      <c r="J11" s="45"/>
      <c r="K11" s="45"/>
      <c r="L11" s="45"/>
      <c r="M11" s="74"/>
      <c r="N11" s="62"/>
      <c r="O11" s="46"/>
      <c r="P11" s="43"/>
      <c r="Q11" s="47"/>
      <c r="R11" s="85"/>
    </row>
    <row r="12" spans="1:19" ht="24.95" customHeight="1" x14ac:dyDescent="0.15">
      <c r="A12" s="223"/>
      <c r="B12" s="63" t="s">
        <v>100</v>
      </c>
      <c r="C12" s="48" t="s">
        <v>105</v>
      </c>
      <c r="D12" s="49"/>
      <c r="E12" s="50">
        <v>5</v>
      </c>
      <c r="F12" s="51" t="s">
        <v>33</v>
      </c>
      <c r="G12" s="67" t="s">
        <v>71</v>
      </c>
      <c r="H12" s="71" t="s">
        <v>105</v>
      </c>
      <c r="I12" s="49"/>
      <c r="J12" s="51">
        <f>ROUNDUP(E12*0.75,2)</f>
        <v>3.75</v>
      </c>
      <c r="K12" s="51" t="s">
        <v>33</v>
      </c>
      <c r="L12" s="51" t="s">
        <v>71</v>
      </c>
      <c r="M12" s="75" t="e">
        <f>#REF!</f>
        <v>#REF!</v>
      </c>
      <c r="N12" s="63" t="s">
        <v>101</v>
      </c>
      <c r="O12" s="52" t="s">
        <v>30</v>
      </c>
      <c r="P12" s="49"/>
      <c r="Q12" s="53">
        <v>2</v>
      </c>
      <c r="R12" s="84">
        <f t="shared" ref="R12:R17" si="1">ROUNDUP(Q12*0.75,2)</f>
        <v>1.5</v>
      </c>
    </row>
    <row r="13" spans="1:19" ht="24.95" customHeight="1" x14ac:dyDescent="0.15">
      <c r="A13" s="223"/>
      <c r="B13" s="63"/>
      <c r="C13" s="48" t="s">
        <v>106</v>
      </c>
      <c r="D13" s="49"/>
      <c r="E13" s="50">
        <v>1</v>
      </c>
      <c r="F13" s="51" t="s">
        <v>33</v>
      </c>
      <c r="G13" s="67" t="s">
        <v>107</v>
      </c>
      <c r="H13" s="71" t="s">
        <v>106</v>
      </c>
      <c r="I13" s="49"/>
      <c r="J13" s="51">
        <f>ROUNDUP(E13*0.75,2)</f>
        <v>0.75</v>
      </c>
      <c r="K13" s="51" t="s">
        <v>33</v>
      </c>
      <c r="L13" s="51" t="s">
        <v>107</v>
      </c>
      <c r="M13" s="75" t="e">
        <f>#REF!</f>
        <v>#REF!</v>
      </c>
      <c r="N13" s="63" t="s">
        <v>102</v>
      </c>
      <c r="O13" s="52" t="s">
        <v>45</v>
      </c>
      <c r="P13" s="49"/>
      <c r="Q13" s="53">
        <v>50</v>
      </c>
      <c r="R13" s="84">
        <f t="shared" si="1"/>
        <v>37.5</v>
      </c>
    </row>
    <row r="14" spans="1:19" ht="24.95" customHeight="1" x14ac:dyDescent="0.15">
      <c r="A14" s="223"/>
      <c r="B14" s="63"/>
      <c r="C14" s="48" t="s">
        <v>41</v>
      </c>
      <c r="D14" s="49"/>
      <c r="E14" s="50">
        <v>10</v>
      </c>
      <c r="F14" s="51" t="s">
        <v>33</v>
      </c>
      <c r="G14" s="67"/>
      <c r="H14" s="71" t="s">
        <v>41</v>
      </c>
      <c r="I14" s="49"/>
      <c r="J14" s="51">
        <f>ROUNDUP(E14*0.75,2)</f>
        <v>7.5</v>
      </c>
      <c r="K14" s="51" t="s">
        <v>33</v>
      </c>
      <c r="L14" s="51"/>
      <c r="M14" s="75" t="e">
        <f>ROUND(#REF!+(#REF!*3/100),2)</f>
        <v>#REF!</v>
      </c>
      <c r="N14" s="63" t="s">
        <v>103</v>
      </c>
      <c r="O14" s="52" t="s">
        <v>47</v>
      </c>
      <c r="P14" s="49"/>
      <c r="Q14" s="53">
        <v>1.5</v>
      </c>
      <c r="R14" s="84">
        <f t="shared" si="1"/>
        <v>1.1300000000000001</v>
      </c>
    </row>
    <row r="15" spans="1:19" ht="24.95" customHeight="1" x14ac:dyDescent="0.15">
      <c r="A15" s="223"/>
      <c r="B15" s="63"/>
      <c r="C15" s="48" t="s">
        <v>108</v>
      </c>
      <c r="D15" s="49"/>
      <c r="E15" s="50">
        <v>5</v>
      </c>
      <c r="F15" s="51" t="s">
        <v>33</v>
      </c>
      <c r="G15" s="67" t="s">
        <v>81</v>
      </c>
      <c r="H15" s="71" t="s">
        <v>108</v>
      </c>
      <c r="I15" s="49"/>
      <c r="J15" s="51">
        <f>ROUNDUP(E15*0.75,2)</f>
        <v>3.75</v>
      </c>
      <c r="K15" s="51" t="s">
        <v>33</v>
      </c>
      <c r="L15" s="51" t="s">
        <v>81</v>
      </c>
      <c r="M15" s="75" t="e">
        <f>#REF!</f>
        <v>#REF!</v>
      </c>
      <c r="N15" s="63" t="s">
        <v>104</v>
      </c>
      <c r="O15" s="52" t="s">
        <v>109</v>
      </c>
      <c r="P15" s="49"/>
      <c r="Q15" s="53">
        <v>1</v>
      </c>
      <c r="R15" s="84">
        <f t="shared" si="1"/>
        <v>0.75</v>
      </c>
    </row>
    <row r="16" spans="1:19" ht="24.95" customHeight="1" x14ac:dyDescent="0.15">
      <c r="A16" s="223"/>
      <c r="B16" s="63"/>
      <c r="C16" s="48"/>
      <c r="D16" s="49"/>
      <c r="E16" s="50"/>
      <c r="F16" s="51"/>
      <c r="G16" s="67"/>
      <c r="H16" s="71"/>
      <c r="I16" s="49"/>
      <c r="J16" s="51"/>
      <c r="K16" s="51"/>
      <c r="L16" s="51"/>
      <c r="M16" s="75"/>
      <c r="N16" s="63" t="s">
        <v>21</v>
      </c>
      <c r="O16" s="52" t="s">
        <v>46</v>
      </c>
      <c r="P16" s="49"/>
      <c r="Q16" s="53">
        <v>1</v>
      </c>
      <c r="R16" s="84">
        <f t="shared" si="1"/>
        <v>0.75</v>
      </c>
    </row>
    <row r="17" spans="1:18" ht="24.95" customHeight="1" x14ac:dyDescent="0.15">
      <c r="A17" s="223"/>
      <c r="B17" s="63"/>
      <c r="C17" s="48"/>
      <c r="D17" s="49"/>
      <c r="E17" s="50"/>
      <c r="F17" s="51"/>
      <c r="G17" s="67"/>
      <c r="H17" s="71"/>
      <c r="I17" s="49"/>
      <c r="J17" s="51"/>
      <c r="K17" s="51"/>
      <c r="L17" s="51"/>
      <c r="M17" s="75"/>
      <c r="N17" s="63"/>
      <c r="O17" s="52" t="s">
        <v>48</v>
      </c>
      <c r="P17" s="49" t="s">
        <v>29</v>
      </c>
      <c r="Q17" s="53">
        <v>1.5</v>
      </c>
      <c r="R17" s="84">
        <f t="shared" si="1"/>
        <v>1.1300000000000001</v>
      </c>
    </row>
    <row r="18" spans="1:18" ht="24.95" customHeight="1" x14ac:dyDescent="0.15">
      <c r="A18" s="223"/>
      <c r="B18" s="62"/>
      <c r="C18" s="42"/>
      <c r="D18" s="43"/>
      <c r="E18" s="44"/>
      <c r="F18" s="45"/>
      <c r="G18" s="66"/>
      <c r="H18" s="70"/>
      <c r="I18" s="43"/>
      <c r="J18" s="45"/>
      <c r="K18" s="45"/>
      <c r="L18" s="45"/>
      <c r="M18" s="74"/>
      <c r="N18" s="62"/>
      <c r="O18" s="46"/>
      <c r="P18" s="43"/>
      <c r="Q18" s="47"/>
      <c r="R18" s="85"/>
    </row>
    <row r="19" spans="1:18" ht="24.95" customHeight="1" x14ac:dyDescent="0.15">
      <c r="A19" s="223"/>
      <c r="B19" s="63" t="s">
        <v>110</v>
      </c>
      <c r="C19" s="48" t="s">
        <v>111</v>
      </c>
      <c r="D19" s="49"/>
      <c r="E19" s="77">
        <v>0.25</v>
      </c>
      <c r="F19" s="51" t="s">
        <v>112</v>
      </c>
      <c r="G19" s="67"/>
      <c r="H19" s="71" t="s">
        <v>111</v>
      </c>
      <c r="I19" s="49"/>
      <c r="J19" s="51">
        <f>ROUNDUP(E19*0.75,2)</f>
        <v>0.19</v>
      </c>
      <c r="K19" s="51" t="s">
        <v>112</v>
      </c>
      <c r="L19" s="51"/>
      <c r="M19" s="75" t="e">
        <f>#REF!</f>
        <v>#REF!</v>
      </c>
      <c r="N19" s="63" t="s">
        <v>55</v>
      </c>
      <c r="O19" s="52"/>
      <c r="P19" s="49"/>
      <c r="Q19" s="53"/>
      <c r="R19" s="84"/>
    </row>
    <row r="20" spans="1:18" ht="24.95" customHeight="1" thickBot="1" x14ac:dyDescent="0.2">
      <c r="A20" s="224"/>
      <c r="B20" s="64"/>
      <c r="C20" s="55"/>
      <c r="D20" s="56"/>
      <c r="E20" s="57"/>
      <c r="F20" s="58"/>
      <c r="G20" s="68"/>
      <c r="H20" s="72"/>
      <c r="I20" s="56"/>
      <c r="J20" s="58"/>
      <c r="K20" s="58"/>
      <c r="L20" s="58"/>
      <c r="M20" s="76"/>
      <c r="N20" s="64"/>
      <c r="O20" s="59"/>
      <c r="P20" s="56"/>
      <c r="Q20" s="60"/>
      <c r="R20" s="86"/>
    </row>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x14ac:dyDescent="0.15">
      <c r="A1" s="1" t="s">
        <v>13</v>
      </c>
      <c r="B1" s="1"/>
      <c r="C1" s="2"/>
      <c r="D1" s="3"/>
      <c r="E1" s="2"/>
      <c r="F1" s="2"/>
      <c r="G1" s="2"/>
      <c r="H1" s="218"/>
      <c r="I1" s="218"/>
      <c r="J1" s="219"/>
      <c r="K1" s="219"/>
      <c r="L1" s="219"/>
      <c r="M1" s="219"/>
      <c r="N1" s="219"/>
      <c r="O1" s="2"/>
      <c r="P1" s="2"/>
      <c r="Q1" s="4"/>
      <c r="R1" s="4"/>
      <c r="S1" s="3"/>
    </row>
    <row r="2" spans="1:26" ht="36.75" customHeight="1" x14ac:dyDescent="0.15">
      <c r="A2" s="218" t="s">
        <v>0</v>
      </c>
      <c r="B2" s="218"/>
      <c r="C2" s="219"/>
      <c r="D2" s="219"/>
      <c r="E2" s="219"/>
      <c r="F2" s="219"/>
      <c r="G2" s="219"/>
      <c r="H2" s="219"/>
      <c r="I2" s="219"/>
      <c r="J2" s="219"/>
      <c r="K2" s="219"/>
      <c r="L2" s="219"/>
      <c r="M2" s="219"/>
      <c r="N2" s="219"/>
      <c r="O2" s="219"/>
      <c r="P2" s="219"/>
      <c r="Q2" s="219"/>
      <c r="R2" s="219"/>
      <c r="S2" s="3"/>
    </row>
    <row r="3" spans="1:26" ht="22.5" customHeight="1" x14ac:dyDescent="0.15">
      <c r="A3" s="5"/>
      <c r="B3" s="225" t="s">
        <v>302</v>
      </c>
      <c r="C3" s="225"/>
      <c r="D3" s="3"/>
      <c r="E3" s="6"/>
      <c r="F3" s="2"/>
      <c r="G3" s="2"/>
      <c r="H3" s="2"/>
      <c r="I3" s="3"/>
      <c r="J3" s="2"/>
      <c r="K3" s="7"/>
      <c r="L3" s="7"/>
      <c r="M3" s="8"/>
      <c r="N3" s="2"/>
      <c r="O3"/>
      <c r="P3" s="3"/>
      <c r="Q3"/>
      <c r="R3"/>
      <c r="S3"/>
      <c r="X3" s="3"/>
      <c r="Y3" s="3"/>
      <c r="Z3" s="3"/>
    </row>
    <row r="4" spans="1:26" ht="22.5" customHeight="1" x14ac:dyDescent="0.15">
      <c r="A4" s="5"/>
      <c r="B4" s="225"/>
      <c r="C4" s="225"/>
      <c r="D4" s="9"/>
      <c r="E4" s="6"/>
      <c r="F4" s="2"/>
      <c r="G4" s="2"/>
      <c r="H4" s="2"/>
      <c r="I4" s="9"/>
      <c r="J4" s="2"/>
      <c r="K4" s="7"/>
      <c r="L4" s="7"/>
      <c r="M4" s="8"/>
      <c r="N4" s="2"/>
      <c r="O4"/>
      <c r="P4" s="3"/>
      <c r="Q4"/>
      <c r="R4"/>
      <c r="S4"/>
      <c r="X4" s="3"/>
      <c r="Y4" s="3"/>
      <c r="Z4" s="3"/>
    </row>
    <row r="5" spans="1:26" ht="27.75" customHeight="1" thickBot="1" x14ac:dyDescent="0.3">
      <c r="A5" s="220" t="s">
        <v>126</v>
      </c>
      <c r="B5" s="221"/>
      <c r="C5" s="221"/>
      <c r="D5" s="221"/>
      <c r="E5" s="221"/>
      <c r="F5" s="221"/>
      <c r="G5" s="2"/>
      <c r="H5" s="2"/>
      <c r="I5" s="12"/>
      <c r="J5" s="2"/>
      <c r="K5" s="7"/>
      <c r="L5" s="7"/>
      <c r="M5" s="10"/>
      <c r="N5" s="2"/>
      <c r="O5" s="13"/>
      <c r="P5" s="12"/>
      <c r="Q5" s="14"/>
      <c r="R5" s="14"/>
      <c r="S5" s="11"/>
    </row>
    <row r="6" spans="1:26"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26" ht="24.95" customHeight="1" x14ac:dyDescent="0.15">
      <c r="A7" s="222" t="s">
        <v>58</v>
      </c>
      <c r="B7" s="61" t="s">
        <v>127</v>
      </c>
      <c r="C7" s="36" t="s">
        <v>113</v>
      </c>
      <c r="D7" s="37"/>
      <c r="E7" s="38">
        <v>30</v>
      </c>
      <c r="F7" s="39" t="s">
        <v>33</v>
      </c>
      <c r="G7" s="65" t="s">
        <v>71</v>
      </c>
      <c r="H7" s="69" t="s">
        <v>113</v>
      </c>
      <c r="I7" s="37"/>
      <c r="J7" s="39">
        <f>ROUNDUP(E7*0.75,2)</f>
        <v>22.5</v>
      </c>
      <c r="K7" s="39" t="s">
        <v>33</v>
      </c>
      <c r="L7" s="39" t="s">
        <v>71</v>
      </c>
      <c r="M7" s="73" t="e">
        <f>#REF!</f>
        <v>#REF!</v>
      </c>
      <c r="N7" s="61" t="s">
        <v>128</v>
      </c>
      <c r="O7" s="40" t="s">
        <v>15</v>
      </c>
      <c r="P7" s="37"/>
      <c r="Q7" s="41">
        <v>110</v>
      </c>
      <c r="R7" s="83">
        <f>ROUNDUP(Q7*0.75,2)</f>
        <v>82.5</v>
      </c>
    </row>
    <row r="8" spans="1:26" ht="24.95" customHeight="1" x14ac:dyDescent="0.15">
      <c r="A8" s="223"/>
      <c r="B8" s="63"/>
      <c r="C8" s="48" t="s">
        <v>50</v>
      </c>
      <c r="D8" s="49"/>
      <c r="E8" s="50">
        <v>50</v>
      </c>
      <c r="F8" s="51" t="s">
        <v>33</v>
      </c>
      <c r="G8" s="67"/>
      <c r="H8" s="71" t="s">
        <v>50</v>
      </c>
      <c r="I8" s="49"/>
      <c r="J8" s="51">
        <f>ROUNDUP(E8*0.75,2)</f>
        <v>37.5</v>
      </c>
      <c r="K8" s="51" t="s">
        <v>33</v>
      </c>
      <c r="L8" s="51"/>
      <c r="M8" s="75" t="e">
        <f>ROUND(#REF!+(#REF!*6/100),2)</f>
        <v>#REF!</v>
      </c>
      <c r="N8" s="63" t="s">
        <v>129</v>
      </c>
      <c r="O8" s="52" t="s">
        <v>109</v>
      </c>
      <c r="P8" s="49"/>
      <c r="Q8" s="53">
        <v>0.5</v>
      </c>
      <c r="R8" s="84">
        <f>ROUNDUP(Q8*0.75,2)</f>
        <v>0.38</v>
      </c>
    </row>
    <row r="9" spans="1:26" ht="24.95" customHeight="1" x14ac:dyDescent="0.15">
      <c r="A9" s="223"/>
      <c r="B9" s="63"/>
      <c r="C9" s="48" t="s">
        <v>133</v>
      </c>
      <c r="D9" s="49"/>
      <c r="E9" s="50">
        <v>50</v>
      </c>
      <c r="F9" s="51" t="s">
        <v>33</v>
      </c>
      <c r="G9" s="67"/>
      <c r="H9" s="71" t="s">
        <v>133</v>
      </c>
      <c r="I9" s="49"/>
      <c r="J9" s="51">
        <f>ROUNDUP(E9*0.75,2)</f>
        <v>37.5</v>
      </c>
      <c r="K9" s="51" t="s">
        <v>33</v>
      </c>
      <c r="L9" s="51"/>
      <c r="M9" s="75" t="e">
        <f>#REF!</f>
        <v>#REF!</v>
      </c>
      <c r="N9" s="63" t="s">
        <v>130</v>
      </c>
      <c r="O9" s="52" t="s">
        <v>30</v>
      </c>
      <c r="P9" s="49"/>
      <c r="Q9" s="53">
        <v>1</v>
      </c>
      <c r="R9" s="84">
        <f>ROUNDUP(Q9*0.75,2)</f>
        <v>0.75</v>
      </c>
    </row>
    <row r="10" spans="1:26" ht="24.95" customHeight="1" x14ac:dyDescent="0.15">
      <c r="A10" s="223"/>
      <c r="B10" s="63"/>
      <c r="C10" s="48" t="s">
        <v>134</v>
      </c>
      <c r="D10" s="49" t="s">
        <v>135</v>
      </c>
      <c r="E10" s="50">
        <v>10</v>
      </c>
      <c r="F10" s="51" t="s">
        <v>33</v>
      </c>
      <c r="G10" s="67"/>
      <c r="H10" s="71" t="s">
        <v>134</v>
      </c>
      <c r="I10" s="49" t="s">
        <v>135</v>
      </c>
      <c r="J10" s="51">
        <f>ROUNDUP(E10*0.75,2)</f>
        <v>7.5</v>
      </c>
      <c r="K10" s="51" t="s">
        <v>33</v>
      </c>
      <c r="L10" s="51"/>
      <c r="M10" s="75" t="e">
        <f>#REF!</f>
        <v>#REF!</v>
      </c>
      <c r="N10" s="63" t="s">
        <v>131</v>
      </c>
      <c r="O10" s="52" t="s">
        <v>82</v>
      </c>
      <c r="P10" s="49"/>
      <c r="Q10" s="53">
        <v>30</v>
      </c>
      <c r="R10" s="84">
        <f>ROUNDUP(Q10*0.75,2)</f>
        <v>22.5</v>
      </c>
    </row>
    <row r="11" spans="1:26" ht="24.95" customHeight="1" x14ac:dyDescent="0.15">
      <c r="A11" s="223"/>
      <c r="B11" s="63"/>
      <c r="C11" s="48" t="s">
        <v>80</v>
      </c>
      <c r="D11" s="49"/>
      <c r="E11" s="50">
        <v>5</v>
      </c>
      <c r="F11" s="51" t="s">
        <v>33</v>
      </c>
      <c r="G11" s="67" t="s">
        <v>81</v>
      </c>
      <c r="H11" s="71" t="s">
        <v>80</v>
      </c>
      <c r="I11" s="49"/>
      <c r="J11" s="51">
        <f>ROUNDUP(E11*0.75,2)</f>
        <v>3.75</v>
      </c>
      <c r="K11" s="51" t="s">
        <v>33</v>
      </c>
      <c r="L11" s="51" t="s">
        <v>81</v>
      </c>
      <c r="M11" s="75" t="e">
        <f>#REF!</f>
        <v>#REF!</v>
      </c>
      <c r="N11" s="63" t="s">
        <v>132</v>
      </c>
      <c r="O11" s="52" t="s">
        <v>46</v>
      </c>
      <c r="P11" s="49"/>
      <c r="Q11" s="53">
        <v>1</v>
      </c>
      <c r="R11" s="84">
        <f>ROUNDUP(Q11*0.75,2)</f>
        <v>0.75</v>
      </c>
    </row>
    <row r="12" spans="1:26" ht="24.95" customHeight="1" x14ac:dyDescent="0.15">
      <c r="A12" s="223"/>
      <c r="B12" s="63"/>
      <c r="C12" s="48"/>
      <c r="D12" s="49"/>
      <c r="E12" s="50"/>
      <c r="F12" s="51"/>
      <c r="G12" s="67"/>
      <c r="H12" s="71"/>
      <c r="I12" s="49"/>
      <c r="J12" s="51"/>
      <c r="K12" s="51"/>
      <c r="L12" s="51"/>
      <c r="M12" s="75"/>
      <c r="N12" s="63" t="s">
        <v>21</v>
      </c>
      <c r="O12" s="52"/>
      <c r="P12" s="49"/>
      <c r="Q12" s="53"/>
      <c r="R12" s="84"/>
    </row>
    <row r="13" spans="1:26" ht="24.95" customHeight="1" x14ac:dyDescent="0.15">
      <c r="A13" s="223"/>
      <c r="B13" s="63"/>
      <c r="C13" s="48"/>
      <c r="D13" s="49"/>
      <c r="E13" s="50"/>
      <c r="F13" s="51"/>
      <c r="G13" s="67"/>
      <c r="H13" s="71"/>
      <c r="I13" s="49"/>
      <c r="J13" s="51"/>
      <c r="K13" s="51"/>
      <c r="L13" s="51"/>
      <c r="M13" s="75"/>
      <c r="N13" s="63"/>
      <c r="O13" s="52"/>
      <c r="P13" s="49"/>
      <c r="Q13" s="53"/>
      <c r="R13" s="84"/>
    </row>
    <row r="14" spans="1:26" ht="24.95" customHeight="1" x14ac:dyDescent="0.15">
      <c r="A14" s="223"/>
      <c r="B14" s="62"/>
      <c r="C14" s="42"/>
      <c r="D14" s="43"/>
      <c r="E14" s="44"/>
      <c r="F14" s="45"/>
      <c r="G14" s="66"/>
      <c r="H14" s="70"/>
      <c r="I14" s="43"/>
      <c r="J14" s="45"/>
      <c r="K14" s="45"/>
      <c r="L14" s="45"/>
      <c r="M14" s="74"/>
      <c r="N14" s="62"/>
      <c r="O14" s="46"/>
      <c r="P14" s="43"/>
      <c r="Q14" s="47"/>
      <c r="R14" s="85"/>
    </row>
    <row r="15" spans="1:26" ht="24.95" customHeight="1" x14ac:dyDescent="0.15">
      <c r="A15" s="223"/>
      <c r="B15" s="63" t="s">
        <v>136</v>
      </c>
      <c r="C15" s="48" t="s">
        <v>138</v>
      </c>
      <c r="D15" s="49"/>
      <c r="E15" s="50">
        <v>40</v>
      </c>
      <c r="F15" s="51" t="s">
        <v>33</v>
      </c>
      <c r="G15" s="67"/>
      <c r="H15" s="71" t="s">
        <v>138</v>
      </c>
      <c r="I15" s="49"/>
      <c r="J15" s="51">
        <f>ROUNDUP(E15*0.75,2)</f>
        <v>30</v>
      </c>
      <c r="K15" s="51" t="s">
        <v>33</v>
      </c>
      <c r="L15" s="51"/>
      <c r="M15" s="75" t="e">
        <f>ROUND(#REF!+(#REF!*10/100),2)</f>
        <v>#REF!</v>
      </c>
      <c r="N15" s="63" t="s">
        <v>282</v>
      </c>
      <c r="O15" s="52" t="s">
        <v>27</v>
      </c>
      <c r="P15" s="49"/>
      <c r="Q15" s="53">
        <v>0.1</v>
      </c>
      <c r="R15" s="84">
        <f>ROUNDUP(Q15*0.75,2)</f>
        <v>0.08</v>
      </c>
    </row>
    <row r="16" spans="1:26" ht="24.95" customHeight="1" x14ac:dyDescent="0.15">
      <c r="A16" s="223"/>
      <c r="B16" s="63"/>
      <c r="C16" s="48" t="s">
        <v>68</v>
      </c>
      <c r="D16" s="49" t="s">
        <v>69</v>
      </c>
      <c r="E16" s="79">
        <v>0.5</v>
      </c>
      <c r="F16" s="51" t="s">
        <v>57</v>
      </c>
      <c r="G16" s="67"/>
      <c r="H16" s="71" t="s">
        <v>68</v>
      </c>
      <c r="I16" s="49" t="s">
        <v>69</v>
      </c>
      <c r="J16" s="51">
        <f>ROUNDUP(E16*0.75,2)</f>
        <v>0.38</v>
      </c>
      <c r="K16" s="51" t="s">
        <v>57</v>
      </c>
      <c r="L16" s="51"/>
      <c r="M16" s="75" t="e">
        <f>#REF!</f>
        <v>#REF!</v>
      </c>
      <c r="N16" s="63" t="s">
        <v>301</v>
      </c>
      <c r="O16" s="52" t="s">
        <v>46</v>
      </c>
      <c r="P16" s="49"/>
      <c r="Q16" s="53">
        <v>0.3</v>
      </c>
      <c r="R16" s="84">
        <f>ROUNDUP(Q16*0.75,2)</f>
        <v>0.23</v>
      </c>
    </row>
    <row r="17" spans="1:18" ht="24.95" customHeight="1" x14ac:dyDescent="0.15">
      <c r="A17" s="223"/>
      <c r="B17" s="63"/>
      <c r="C17" s="48" t="s">
        <v>139</v>
      </c>
      <c r="D17" s="49"/>
      <c r="E17" s="50">
        <v>5</v>
      </c>
      <c r="F17" s="51" t="s">
        <v>33</v>
      </c>
      <c r="G17" s="67"/>
      <c r="H17" s="71" t="s">
        <v>139</v>
      </c>
      <c r="I17" s="49"/>
      <c r="J17" s="51">
        <f>ROUNDUP(E17*0.75,2)</f>
        <v>3.75</v>
      </c>
      <c r="K17" s="51" t="s">
        <v>33</v>
      </c>
      <c r="L17" s="51"/>
      <c r="M17" s="75" t="e">
        <f>ROUND(#REF!+(#REF!*2/100),2)</f>
        <v>#REF!</v>
      </c>
      <c r="N17" s="63" t="s">
        <v>300</v>
      </c>
      <c r="O17" s="52" t="s">
        <v>25</v>
      </c>
      <c r="P17" s="49" t="s">
        <v>26</v>
      </c>
      <c r="Q17" s="53">
        <v>4</v>
      </c>
      <c r="R17" s="84">
        <f>ROUNDUP(Q17*0.75,2)</f>
        <v>3</v>
      </c>
    </row>
    <row r="18" spans="1:18" ht="24.95" customHeight="1" x14ac:dyDescent="0.15">
      <c r="A18" s="223"/>
      <c r="B18" s="62"/>
      <c r="C18" s="42"/>
      <c r="D18" s="43"/>
      <c r="E18" s="44"/>
      <c r="F18" s="45"/>
      <c r="G18" s="66"/>
      <c r="H18" s="70"/>
      <c r="I18" s="43"/>
      <c r="J18" s="45"/>
      <c r="K18" s="45"/>
      <c r="L18" s="45"/>
      <c r="M18" s="74"/>
      <c r="N18" s="62" t="s">
        <v>39</v>
      </c>
      <c r="O18" s="46"/>
      <c r="P18" s="43"/>
      <c r="Q18" s="47"/>
      <c r="R18" s="85"/>
    </row>
    <row r="19" spans="1:18" ht="24.95" customHeight="1" x14ac:dyDescent="0.15">
      <c r="A19" s="223"/>
      <c r="B19" s="63" t="s">
        <v>54</v>
      </c>
      <c r="C19" s="48" t="s">
        <v>56</v>
      </c>
      <c r="D19" s="49"/>
      <c r="E19" s="54">
        <v>0.125</v>
      </c>
      <c r="F19" s="51" t="s">
        <v>57</v>
      </c>
      <c r="G19" s="67"/>
      <c r="H19" s="71" t="s">
        <v>56</v>
      </c>
      <c r="I19" s="49"/>
      <c r="J19" s="51">
        <f>ROUNDUP(E19*0.75,2)</f>
        <v>9.9999999999999992E-2</v>
      </c>
      <c r="K19" s="51" t="s">
        <v>57</v>
      </c>
      <c r="L19" s="51"/>
      <c r="M19" s="75" t="e">
        <f>#REF!</f>
        <v>#REF!</v>
      </c>
      <c r="N19" s="63" t="s">
        <v>55</v>
      </c>
      <c r="O19" s="52"/>
      <c r="P19" s="49"/>
      <c r="Q19" s="53"/>
      <c r="R19" s="84"/>
    </row>
    <row r="20" spans="1:18" ht="24.95" customHeight="1" thickBot="1" x14ac:dyDescent="0.2">
      <c r="A20" s="224"/>
      <c r="B20" s="64"/>
      <c r="C20" s="55"/>
      <c r="D20" s="56"/>
      <c r="E20" s="57"/>
      <c r="F20" s="58"/>
      <c r="G20" s="68"/>
      <c r="H20" s="72"/>
      <c r="I20" s="56"/>
      <c r="J20" s="58"/>
      <c r="K20" s="58"/>
      <c r="L20" s="58"/>
      <c r="M20" s="76"/>
      <c r="N20" s="64"/>
      <c r="O20" s="59"/>
      <c r="P20" s="56"/>
      <c r="Q20" s="60"/>
      <c r="R20" s="86"/>
    </row>
    <row r="21" spans="1:18" ht="24.95" customHeight="1" x14ac:dyDescent="0.15"/>
    <row r="22" spans="1:18" ht="24.95" customHeight="1" x14ac:dyDescent="0.15"/>
  </sheetData>
  <mergeCells count="5">
    <mergeCell ref="H1:N1"/>
    <mergeCell ref="A2:R2"/>
    <mergeCell ref="A5:F5"/>
    <mergeCell ref="A7:A20"/>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15.75" customHeight="1" x14ac:dyDescent="0.15">
      <c r="A3" s="5"/>
      <c r="B3" s="225" t="s">
        <v>302</v>
      </c>
      <c r="C3" s="225"/>
      <c r="D3" s="3"/>
      <c r="E3" s="6"/>
      <c r="F3" s="2"/>
      <c r="G3" s="2"/>
      <c r="H3" s="2"/>
      <c r="I3" s="3"/>
      <c r="J3" s="2"/>
      <c r="K3" s="7"/>
      <c r="L3" s="7"/>
      <c r="M3" s="8"/>
      <c r="N3" s="2"/>
      <c r="O3"/>
      <c r="P3"/>
      <c r="Q3"/>
      <c r="R3"/>
      <c r="S3" s="3"/>
    </row>
    <row r="4" spans="1:19" ht="22.5" customHeight="1" x14ac:dyDescent="0.15">
      <c r="A4" s="5"/>
      <c r="B4" s="225"/>
      <c r="C4" s="225"/>
      <c r="D4" s="3"/>
      <c r="E4" s="6"/>
      <c r="F4" s="2"/>
      <c r="G4" s="2"/>
      <c r="H4" s="2"/>
      <c r="I4" s="3"/>
      <c r="J4" s="2"/>
      <c r="K4" s="7"/>
      <c r="L4" s="7"/>
      <c r="M4" s="8"/>
      <c r="N4" s="2"/>
      <c r="O4"/>
      <c r="P4"/>
      <c r="Q4"/>
      <c r="R4"/>
      <c r="S4" s="3"/>
    </row>
    <row r="5" spans="1:19" ht="27.75" customHeight="1" thickBot="1" x14ac:dyDescent="0.3">
      <c r="A5" s="220" t="s">
        <v>148</v>
      </c>
      <c r="B5" s="221"/>
      <c r="C5" s="221"/>
      <c r="D5" s="221"/>
      <c r="E5" s="221"/>
      <c r="F5" s="221"/>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4.95" customHeight="1" x14ac:dyDescent="0.15">
      <c r="A7" s="222" t="s">
        <v>58</v>
      </c>
      <c r="B7" s="61" t="s">
        <v>149</v>
      </c>
      <c r="C7" s="36" t="s">
        <v>62</v>
      </c>
      <c r="D7" s="37"/>
      <c r="E7" s="38">
        <v>30</v>
      </c>
      <c r="F7" s="39" t="s">
        <v>33</v>
      </c>
      <c r="G7" s="65"/>
      <c r="H7" s="69" t="s">
        <v>62</v>
      </c>
      <c r="I7" s="37"/>
      <c r="J7" s="39">
        <f>ROUNDUP(E7*0.75,2)</f>
        <v>22.5</v>
      </c>
      <c r="K7" s="39" t="s">
        <v>33</v>
      </c>
      <c r="L7" s="39"/>
      <c r="M7" s="73" t="e">
        <f>ROUND(#REF!+(#REF!*10/100),2)</f>
        <v>#REF!</v>
      </c>
      <c r="N7" s="61" t="s">
        <v>150</v>
      </c>
      <c r="O7" s="40" t="s">
        <v>15</v>
      </c>
      <c r="P7" s="37"/>
      <c r="Q7" s="41">
        <v>110</v>
      </c>
      <c r="R7" s="83">
        <f>ROUNDUP(Q7*0.75,2)</f>
        <v>82.5</v>
      </c>
    </row>
    <row r="8" spans="1:19" ht="24.95" customHeight="1" x14ac:dyDescent="0.15">
      <c r="A8" s="223"/>
      <c r="B8" s="63"/>
      <c r="C8" s="48" t="s">
        <v>65</v>
      </c>
      <c r="D8" s="49"/>
      <c r="E8" s="50">
        <v>1</v>
      </c>
      <c r="F8" s="51" t="s">
        <v>33</v>
      </c>
      <c r="G8" s="67" t="s">
        <v>66</v>
      </c>
      <c r="H8" s="71" t="s">
        <v>65</v>
      </c>
      <c r="I8" s="49"/>
      <c r="J8" s="51">
        <f>ROUNDUP(E8*0.75,2)</f>
        <v>0.75</v>
      </c>
      <c r="K8" s="51" t="s">
        <v>33</v>
      </c>
      <c r="L8" s="51" t="s">
        <v>66</v>
      </c>
      <c r="M8" s="75" t="e">
        <f>#REF!</f>
        <v>#REF!</v>
      </c>
      <c r="N8" s="63" t="s">
        <v>151</v>
      </c>
      <c r="O8" s="52" t="s">
        <v>27</v>
      </c>
      <c r="P8" s="49"/>
      <c r="Q8" s="53">
        <v>0.1</v>
      </c>
      <c r="R8" s="84">
        <f>ROUNDUP(Q8*0.75,2)</f>
        <v>0.08</v>
      </c>
    </row>
    <row r="9" spans="1:19" ht="24.95" customHeight="1" x14ac:dyDescent="0.15">
      <c r="A9" s="223"/>
      <c r="B9" s="63"/>
      <c r="C9" s="48"/>
      <c r="D9" s="49"/>
      <c r="E9" s="50"/>
      <c r="F9" s="51"/>
      <c r="G9" s="67"/>
      <c r="H9" s="71"/>
      <c r="I9" s="49"/>
      <c r="J9" s="51"/>
      <c r="K9" s="51"/>
      <c r="L9" s="51"/>
      <c r="M9" s="75"/>
      <c r="N9" s="63" t="s">
        <v>303</v>
      </c>
      <c r="O9" s="52"/>
      <c r="P9" s="49"/>
      <c r="Q9" s="53"/>
      <c r="R9" s="84"/>
    </row>
    <row r="10" spans="1:19" ht="24.95" customHeight="1" x14ac:dyDescent="0.15">
      <c r="A10" s="223"/>
      <c r="B10" s="63"/>
      <c r="C10" s="48"/>
      <c r="D10" s="49"/>
      <c r="E10" s="50"/>
      <c r="F10" s="51"/>
      <c r="G10" s="67"/>
      <c r="H10" s="71"/>
      <c r="I10" s="49"/>
      <c r="J10" s="51"/>
      <c r="K10" s="51"/>
      <c r="L10" s="51"/>
      <c r="M10" s="75"/>
      <c r="N10" s="63" t="s">
        <v>39</v>
      </c>
      <c r="O10" s="52"/>
      <c r="P10" s="49"/>
      <c r="Q10" s="53"/>
      <c r="R10" s="84"/>
    </row>
    <row r="11" spans="1:19" ht="24.95" customHeight="1" x14ac:dyDescent="0.15">
      <c r="A11" s="223"/>
      <c r="B11" s="62"/>
      <c r="C11" s="42"/>
      <c r="D11" s="43"/>
      <c r="E11" s="44"/>
      <c r="F11" s="45"/>
      <c r="G11" s="66"/>
      <c r="H11" s="70"/>
      <c r="I11" s="43"/>
      <c r="J11" s="45"/>
      <c r="K11" s="45"/>
      <c r="L11" s="45"/>
      <c r="M11" s="74"/>
      <c r="N11" s="62"/>
      <c r="O11" s="46"/>
      <c r="P11" s="43"/>
      <c r="Q11" s="47"/>
      <c r="R11" s="85"/>
    </row>
    <row r="12" spans="1:19" ht="24.95" customHeight="1" x14ac:dyDescent="0.15">
      <c r="A12" s="223"/>
      <c r="B12" s="63" t="s">
        <v>152</v>
      </c>
      <c r="C12" s="48" t="s">
        <v>157</v>
      </c>
      <c r="D12" s="49"/>
      <c r="E12" s="50">
        <v>1</v>
      </c>
      <c r="F12" s="51" t="s">
        <v>158</v>
      </c>
      <c r="G12" s="67" t="s">
        <v>71</v>
      </c>
      <c r="H12" s="71" t="s">
        <v>157</v>
      </c>
      <c r="I12" s="49"/>
      <c r="J12" s="51">
        <f>ROUNDUP(E12*0.75,2)</f>
        <v>0.75</v>
      </c>
      <c r="K12" s="51" t="s">
        <v>158</v>
      </c>
      <c r="L12" s="51" t="s">
        <v>71</v>
      </c>
      <c r="M12" s="75" t="e">
        <f>#REF!</f>
        <v>#REF!</v>
      </c>
      <c r="N12" s="63" t="s">
        <v>153</v>
      </c>
      <c r="O12" s="52" t="s">
        <v>46</v>
      </c>
      <c r="P12" s="49"/>
      <c r="Q12" s="53">
        <v>0.5</v>
      </c>
      <c r="R12" s="84">
        <f t="shared" ref="R12:R18" si="0">ROUNDUP(Q12*0.75,2)</f>
        <v>0.38</v>
      </c>
    </row>
    <row r="13" spans="1:19" ht="24.95" customHeight="1" x14ac:dyDescent="0.15">
      <c r="A13" s="223"/>
      <c r="B13" s="63"/>
      <c r="C13" s="48" t="s">
        <v>159</v>
      </c>
      <c r="D13" s="49"/>
      <c r="E13" s="50">
        <v>0.5</v>
      </c>
      <c r="F13" s="51" t="s">
        <v>33</v>
      </c>
      <c r="G13" s="67"/>
      <c r="H13" s="71" t="s">
        <v>159</v>
      </c>
      <c r="I13" s="49"/>
      <c r="J13" s="51">
        <f>ROUNDUP(E13*0.75,2)</f>
        <v>0.38</v>
      </c>
      <c r="K13" s="51" t="s">
        <v>33</v>
      </c>
      <c r="L13" s="51"/>
      <c r="M13" s="75" t="e">
        <f>ROUND(#REF!+(#REF!*8/100),2)</f>
        <v>#REF!</v>
      </c>
      <c r="N13" s="63" t="s">
        <v>154</v>
      </c>
      <c r="O13" s="52" t="s">
        <v>47</v>
      </c>
      <c r="P13" s="49"/>
      <c r="Q13" s="53">
        <v>2</v>
      </c>
      <c r="R13" s="84">
        <f t="shared" si="0"/>
        <v>1.5</v>
      </c>
    </row>
    <row r="14" spans="1:19" ht="24.95" customHeight="1" x14ac:dyDescent="0.15">
      <c r="A14" s="223"/>
      <c r="B14" s="63"/>
      <c r="C14" s="48" t="s">
        <v>160</v>
      </c>
      <c r="D14" s="49"/>
      <c r="E14" s="50">
        <v>0.5</v>
      </c>
      <c r="F14" s="51" t="s">
        <v>33</v>
      </c>
      <c r="G14" s="67"/>
      <c r="H14" s="71" t="s">
        <v>160</v>
      </c>
      <c r="I14" s="49"/>
      <c r="J14" s="51">
        <f>ROUNDUP(E14*0.75,2)</f>
        <v>0.38</v>
      </c>
      <c r="K14" s="51" t="s">
        <v>33</v>
      </c>
      <c r="L14" s="51"/>
      <c r="M14" s="75" t="e">
        <f>ROUND(#REF!+(#REF!*20/100),2)</f>
        <v>#REF!</v>
      </c>
      <c r="N14" s="63" t="s">
        <v>155</v>
      </c>
      <c r="O14" s="52" t="s">
        <v>48</v>
      </c>
      <c r="P14" s="49" t="s">
        <v>29</v>
      </c>
      <c r="Q14" s="53">
        <v>2</v>
      </c>
      <c r="R14" s="84">
        <f t="shared" si="0"/>
        <v>1.5</v>
      </c>
    </row>
    <row r="15" spans="1:19" ht="24.95" customHeight="1" x14ac:dyDescent="0.15">
      <c r="A15" s="223"/>
      <c r="B15" s="63"/>
      <c r="C15" s="48" t="s">
        <v>75</v>
      </c>
      <c r="D15" s="49"/>
      <c r="E15" s="50">
        <v>20</v>
      </c>
      <c r="F15" s="51" t="s">
        <v>33</v>
      </c>
      <c r="G15" s="67"/>
      <c r="H15" s="71" t="s">
        <v>75</v>
      </c>
      <c r="I15" s="49"/>
      <c r="J15" s="51">
        <f>ROUNDUP(E15*0.75,2)</f>
        <v>15</v>
      </c>
      <c r="K15" s="51" t="s">
        <v>33</v>
      </c>
      <c r="L15" s="51"/>
      <c r="M15" s="75" t="e">
        <f>ROUND(#REF!+(#REF!*15/100),2)</f>
        <v>#REF!</v>
      </c>
      <c r="N15" s="82" t="s">
        <v>156</v>
      </c>
      <c r="O15" s="52" t="s">
        <v>109</v>
      </c>
      <c r="P15" s="49"/>
      <c r="Q15" s="53">
        <v>1</v>
      </c>
      <c r="R15" s="84">
        <f t="shared" si="0"/>
        <v>0.75</v>
      </c>
    </row>
    <row r="16" spans="1:19" ht="24.95" customHeight="1" x14ac:dyDescent="0.15">
      <c r="A16" s="223"/>
      <c r="B16" s="63"/>
      <c r="C16" s="48"/>
      <c r="D16" s="49"/>
      <c r="E16" s="50"/>
      <c r="F16" s="51"/>
      <c r="G16" s="67"/>
      <c r="H16" s="71"/>
      <c r="I16" s="49"/>
      <c r="J16" s="51"/>
      <c r="K16" s="51"/>
      <c r="L16" s="51"/>
      <c r="M16" s="75"/>
      <c r="N16" s="63" t="s">
        <v>21</v>
      </c>
      <c r="O16" s="52" t="s">
        <v>28</v>
      </c>
      <c r="P16" s="49" t="s">
        <v>29</v>
      </c>
      <c r="Q16" s="53">
        <v>2</v>
      </c>
      <c r="R16" s="84">
        <f t="shared" si="0"/>
        <v>1.5</v>
      </c>
    </row>
    <row r="17" spans="1:18" ht="24.95" customHeight="1" x14ac:dyDescent="0.15">
      <c r="A17" s="223"/>
      <c r="B17" s="63"/>
      <c r="C17" s="48"/>
      <c r="D17" s="49"/>
      <c r="E17" s="50"/>
      <c r="F17" s="51"/>
      <c r="G17" s="67"/>
      <c r="H17" s="71"/>
      <c r="I17" s="49"/>
      <c r="J17" s="51"/>
      <c r="K17" s="51"/>
      <c r="L17" s="51"/>
      <c r="M17" s="75"/>
      <c r="N17" s="63"/>
      <c r="O17" s="52" t="s">
        <v>85</v>
      </c>
      <c r="P17" s="49"/>
      <c r="Q17" s="53">
        <v>2</v>
      </c>
      <c r="R17" s="84">
        <f t="shared" si="0"/>
        <v>1.5</v>
      </c>
    </row>
    <row r="18" spans="1:18" ht="24.95" customHeight="1" x14ac:dyDescent="0.15">
      <c r="A18" s="223"/>
      <c r="B18" s="63"/>
      <c r="C18" s="48"/>
      <c r="D18" s="49"/>
      <c r="E18" s="50"/>
      <c r="F18" s="51"/>
      <c r="G18" s="67"/>
      <c r="H18" s="71"/>
      <c r="I18" s="49"/>
      <c r="J18" s="51"/>
      <c r="K18" s="51"/>
      <c r="L18" s="51"/>
      <c r="M18" s="75"/>
      <c r="N18" s="63"/>
      <c r="O18" s="52" t="s">
        <v>30</v>
      </c>
      <c r="P18" s="49"/>
      <c r="Q18" s="53">
        <v>4</v>
      </c>
      <c r="R18" s="84">
        <f t="shared" si="0"/>
        <v>3</v>
      </c>
    </row>
    <row r="19" spans="1:18" ht="24.95" customHeight="1" x14ac:dyDescent="0.15">
      <c r="A19" s="223"/>
      <c r="B19" s="62"/>
      <c r="C19" s="42"/>
      <c r="D19" s="43"/>
      <c r="E19" s="44"/>
      <c r="F19" s="45"/>
      <c r="G19" s="66"/>
      <c r="H19" s="70"/>
      <c r="I19" s="43"/>
      <c r="J19" s="45"/>
      <c r="K19" s="45"/>
      <c r="L19" s="45"/>
      <c r="M19" s="74"/>
      <c r="N19" s="62"/>
      <c r="O19" s="46"/>
      <c r="P19" s="43"/>
      <c r="Q19" s="47"/>
      <c r="R19" s="85"/>
    </row>
    <row r="20" spans="1:18" ht="24.95" customHeight="1" x14ac:dyDescent="0.15">
      <c r="A20" s="223"/>
      <c r="B20" s="63" t="s">
        <v>161</v>
      </c>
      <c r="C20" s="48" t="s">
        <v>165</v>
      </c>
      <c r="D20" s="49" t="s">
        <v>29</v>
      </c>
      <c r="E20" s="50">
        <v>10</v>
      </c>
      <c r="F20" s="51" t="s">
        <v>33</v>
      </c>
      <c r="G20" s="67" t="s">
        <v>166</v>
      </c>
      <c r="H20" s="71" t="s">
        <v>165</v>
      </c>
      <c r="I20" s="49" t="s">
        <v>29</v>
      </c>
      <c r="J20" s="51">
        <f>ROUNDUP(E20*0.75,2)</f>
        <v>7.5</v>
      </c>
      <c r="K20" s="51" t="s">
        <v>33</v>
      </c>
      <c r="L20" s="51" t="s">
        <v>166</v>
      </c>
      <c r="M20" s="75" t="e">
        <f>#REF!</f>
        <v>#REF!</v>
      </c>
      <c r="N20" s="63" t="s">
        <v>162</v>
      </c>
      <c r="O20" s="52" t="s">
        <v>46</v>
      </c>
      <c r="P20" s="49"/>
      <c r="Q20" s="53">
        <v>0.3</v>
      </c>
      <c r="R20" s="84">
        <f>ROUNDUP(Q20*0.75,2)</f>
        <v>0.23</v>
      </c>
    </row>
    <row r="21" spans="1:18" ht="24.95" customHeight="1" x14ac:dyDescent="0.15">
      <c r="A21" s="223"/>
      <c r="B21" s="63"/>
      <c r="C21" s="48" t="s">
        <v>139</v>
      </c>
      <c r="D21" s="49"/>
      <c r="E21" s="50">
        <v>10</v>
      </c>
      <c r="F21" s="51" t="s">
        <v>33</v>
      </c>
      <c r="G21" s="67"/>
      <c r="H21" s="71" t="s">
        <v>139</v>
      </c>
      <c r="I21" s="49"/>
      <c r="J21" s="51">
        <f>ROUNDUP(E21*0.75,2)</f>
        <v>7.5</v>
      </c>
      <c r="K21" s="51" t="s">
        <v>33</v>
      </c>
      <c r="L21" s="51"/>
      <c r="M21" s="75" t="e">
        <f>ROUND(#REF!+(#REF!*2/100),2)</f>
        <v>#REF!</v>
      </c>
      <c r="N21" s="63" t="s">
        <v>163</v>
      </c>
      <c r="O21" s="52" t="s">
        <v>27</v>
      </c>
      <c r="P21" s="49"/>
      <c r="Q21" s="53">
        <v>0.1</v>
      </c>
      <c r="R21" s="84">
        <f>ROUNDUP(Q21*0.75,2)</f>
        <v>0.08</v>
      </c>
    </row>
    <row r="22" spans="1:18" ht="24.95" customHeight="1" x14ac:dyDescent="0.15">
      <c r="A22" s="223"/>
      <c r="B22" s="63"/>
      <c r="C22" s="48" t="s">
        <v>41</v>
      </c>
      <c r="D22" s="49"/>
      <c r="E22" s="50">
        <v>5</v>
      </c>
      <c r="F22" s="51" t="s">
        <v>33</v>
      </c>
      <c r="G22" s="67"/>
      <c r="H22" s="71" t="s">
        <v>41</v>
      </c>
      <c r="I22" s="49"/>
      <c r="J22" s="51">
        <f>ROUNDUP(E22*0.75,2)</f>
        <v>3.75</v>
      </c>
      <c r="K22" s="51" t="s">
        <v>33</v>
      </c>
      <c r="L22" s="51"/>
      <c r="M22" s="75" t="e">
        <f>ROUND(#REF!+(#REF!*3/100),2)</f>
        <v>#REF!</v>
      </c>
      <c r="N22" s="63" t="s">
        <v>164</v>
      </c>
      <c r="O22" s="52" t="s">
        <v>25</v>
      </c>
      <c r="P22" s="49" t="s">
        <v>26</v>
      </c>
      <c r="Q22" s="53">
        <v>4</v>
      </c>
      <c r="R22" s="84">
        <f>ROUNDUP(Q22*0.75,2)</f>
        <v>3</v>
      </c>
    </row>
    <row r="23" spans="1:18" ht="18.75" customHeight="1" x14ac:dyDescent="0.15">
      <c r="A23" s="223"/>
      <c r="B23" s="63"/>
      <c r="C23" s="48"/>
      <c r="D23" s="49"/>
      <c r="E23" s="50"/>
      <c r="F23" s="51"/>
      <c r="G23" s="67"/>
      <c r="H23" s="71"/>
      <c r="I23" s="49"/>
      <c r="J23" s="51"/>
      <c r="K23" s="51"/>
      <c r="L23" s="51"/>
      <c r="M23" s="75"/>
      <c r="N23" s="63" t="s">
        <v>39</v>
      </c>
      <c r="O23" s="52"/>
      <c r="P23" s="49"/>
      <c r="Q23" s="53"/>
      <c r="R23" s="84"/>
    </row>
    <row r="24" spans="1:18" ht="18.75" customHeight="1" x14ac:dyDescent="0.15">
      <c r="A24" s="223"/>
      <c r="B24" s="62"/>
      <c r="C24" s="42"/>
      <c r="D24" s="43"/>
      <c r="E24" s="44"/>
      <c r="F24" s="45"/>
      <c r="G24" s="66"/>
      <c r="H24" s="70"/>
      <c r="I24" s="43"/>
      <c r="J24" s="45"/>
      <c r="K24" s="45"/>
      <c r="L24" s="45"/>
      <c r="M24" s="74"/>
      <c r="N24" s="62"/>
      <c r="O24" s="46"/>
      <c r="P24" s="43"/>
      <c r="Q24" s="47"/>
      <c r="R24" s="85"/>
    </row>
    <row r="25" spans="1:18" ht="18.75" customHeight="1" x14ac:dyDescent="0.15">
      <c r="A25" s="223"/>
      <c r="B25" s="63" t="s">
        <v>124</v>
      </c>
      <c r="C25" s="48" t="s">
        <v>125</v>
      </c>
      <c r="D25" s="49"/>
      <c r="E25" s="78">
        <v>0.16666666666666666</v>
      </c>
      <c r="F25" s="51" t="s">
        <v>57</v>
      </c>
      <c r="G25" s="67"/>
      <c r="H25" s="71" t="s">
        <v>125</v>
      </c>
      <c r="I25" s="49"/>
      <c r="J25" s="51">
        <f>ROUNDUP(E25*0.75,2)</f>
        <v>0.13</v>
      </c>
      <c r="K25" s="51" t="s">
        <v>57</v>
      </c>
      <c r="L25" s="51"/>
      <c r="M25" s="75" t="e">
        <f>#REF!</f>
        <v>#REF!</v>
      </c>
      <c r="N25" s="63" t="s">
        <v>55</v>
      </c>
      <c r="O25" s="52"/>
      <c r="P25" s="49"/>
      <c r="Q25" s="53"/>
      <c r="R25" s="84"/>
    </row>
    <row r="26" spans="1:18" ht="18.75" customHeight="1" thickBot="1" x14ac:dyDescent="0.2">
      <c r="A26" s="224"/>
      <c r="B26" s="64"/>
      <c r="C26" s="55"/>
      <c r="D26" s="56"/>
      <c r="E26" s="57"/>
      <c r="F26" s="58"/>
      <c r="G26" s="68"/>
      <c r="H26" s="72"/>
      <c r="I26" s="56"/>
      <c r="J26" s="58"/>
      <c r="K26" s="58"/>
      <c r="L26" s="58"/>
      <c r="M26" s="76"/>
      <c r="N26" s="64"/>
      <c r="O26" s="59"/>
      <c r="P26" s="56"/>
      <c r="Q26" s="60"/>
      <c r="R26" s="86"/>
    </row>
    <row r="30" spans="1:18" ht="18.75" customHeight="1" x14ac:dyDescent="0.15">
      <c r="P30" s="226" t="s">
        <v>312</v>
      </c>
      <c r="Q30" s="226"/>
      <c r="R30" s="226"/>
    </row>
  </sheetData>
  <mergeCells count="6">
    <mergeCell ref="P30:R30"/>
    <mergeCell ref="H1:N1"/>
    <mergeCell ref="A2:R2"/>
    <mergeCell ref="A5:F5"/>
    <mergeCell ref="A7:A26"/>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184</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0.100000000000001" customHeight="1" x14ac:dyDescent="0.15">
      <c r="A5" s="222" t="s">
        <v>58</v>
      </c>
      <c r="B5" s="61" t="s">
        <v>185</v>
      </c>
      <c r="C5" s="36" t="s">
        <v>186</v>
      </c>
      <c r="D5" s="37" t="s">
        <v>187</v>
      </c>
      <c r="E5" s="81">
        <v>0.5</v>
      </c>
      <c r="F5" s="39" t="s">
        <v>114</v>
      </c>
      <c r="G5" s="65" t="s">
        <v>43</v>
      </c>
      <c r="H5" s="69" t="s">
        <v>186</v>
      </c>
      <c r="I5" s="37" t="s">
        <v>187</v>
      </c>
      <c r="J5" s="39">
        <f>ROUNDUP(E5*0.75,2)</f>
        <v>0.38</v>
      </c>
      <c r="K5" s="39" t="s">
        <v>114</v>
      </c>
      <c r="L5" s="39" t="s">
        <v>43</v>
      </c>
      <c r="M5" s="73" t="e">
        <f>#REF!</f>
        <v>#REF!</v>
      </c>
      <c r="N5" s="61"/>
      <c r="O5" s="40" t="s">
        <v>15</v>
      </c>
      <c r="P5" s="37"/>
      <c r="Q5" s="41">
        <v>110</v>
      </c>
      <c r="R5" s="83">
        <f>ROUNDUP(Q5*0.75,2)</f>
        <v>82.5</v>
      </c>
    </row>
    <row r="6" spans="1:19" ht="20.100000000000001" customHeight="1" x14ac:dyDescent="0.15">
      <c r="A6" s="223"/>
      <c r="B6" s="62"/>
      <c r="C6" s="42"/>
      <c r="D6" s="43"/>
      <c r="E6" s="44"/>
      <c r="F6" s="45"/>
      <c r="G6" s="66"/>
      <c r="H6" s="70"/>
      <c r="I6" s="43"/>
      <c r="J6" s="45"/>
      <c r="K6" s="45"/>
      <c r="L6" s="45"/>
      <c r="M6" s="74"/>
      <c r="N6" s="62"/>
      <c r="O6" s="46"/>
      <c r="P6" s="43"/>
      <c r="Q6" s="47"/>
      <c r="R6" s="85"/>
    </row>
    <row r="7" spans="1:19" ht="20.100000000000001" customHeight="1" x14ac:dyDescent="0.15">
      <c r="A7" s="223"/>
      <c r="B7" s="63" t="s">
        <v>188</v>
      </c>
      <c r="C7" s="48" t="s">
        <v>116</v>
      </c>
      <c r="D7" s="49"/>
      <c r="E7" s="50">
        <v>1</v>
      </c>
      <c r="F7" s="51" t="s">
        <v>24</v>
      </c>
      <c r="G7" s="67" t="s">
        <v>117</v>
      </c>
      <c r="H7" s="71" t="s">
        <v>116</v>
      </c>
      <c r="I7" s="49"/>
      <c r="J7" s="51">
        <f>ROUNDUP(E7*0.75,2)</f>
        <v>0.75</v>
      </c>
      <c r="K7" s="51" t="s">
        <v>24</v>
      </c>
      <c r="L7" s="51" t="s">
        <v>117</v>
      </c>
      <c r="M7" s="75" t="e">
        <f>#REF!</f>
        <v>#REF!</v>
      </c>
      <c r="N7" s="63" t="s">
        <v>115</v>
      </c>
      <c r="O7" s="52" t="s">
        <v>109</v>
      </c>
      <c r="P7" s="49"/>
      <c r="Q7" s="53">
        <v>0.5</v>
      </c>
      <c r="R7" s="84">
        <f t="shared" ref="R7:R15" si="0">ROUNDUP(Q7*0.75,2)</f>
        <v>0.38</v>
      </c>
    </row>
    <row r="8" spans="1:19" ht="20.100000000000001" customHeight="1" x14ac:dyDescent="0.15">
      <c r="A8" s="223"/>
      <c r="B8" s="63"/>
      <c r="C8" s="48" t="s">
        <v>191</v>
      </c>
      <c r="D8" s="49"/>
      <c r="E8" s="50">
        <v>20</v>
      </c>
      <c r="F8" s="51" t="s">
        <v>33</v>
      </c>
      <c r="G8" s="67" t="s">
        <v>81</v>
      </c>
      <c r="H8" s="71" t="s">
        <v>191</v>
      </c>
      <c r="I8" s="49"/>
      <c r="J8" s="51">
        <f>ROUNDUP(E8*0.75,2)</f>
        <v>15</v>
      </c>
      <c r="K8" s="51" t="s">
        <v>33</v>
      </c>
      <c r="L8" s="51" t="s">
        <v>81</v>
      </c>
      <c r="M8" s="75" t="e">
        <f>#REF!</f>
        <v>#REF!</v>
      </c>
      <c r="N8" s="63" t="s">
        <v>189</v>
      </c>
      <c r="O8" s="52" t="s">
        <v>28</v>
      </c>
      <c r="P8" s="49" t="s">
        <v>29</v>
      </c>
      <c r="Q8" s="53">
        <v>5</v>
      </c>
      <c r="R8" s="84">
        <f t="shared" si="0"/>
        <v>3.75</v>
      </c>
    </row>
    <row r="9" spans="1:19" ht="20.100000000000001" customHeight="1" x14ac:dyDescent="0.15">
      <c r="A9" s="223"/>
      <c r="B9" s="63"/>
      <c r="C9" s="48" t="s">
        <v>31</v>
      </c>
      <c r="D9" s="49"/>
      <c r="E9" s="50">
        <v>5</v>
      </c>
      <c r="F9" s="51" t="s">
        <v>33</v>
      </c>
      <c r="G9" s="67" t="s">
        <v>32</v>
      </c>
      <c r="H9" s="71" t="s">
        <v>31</v>
      </c>
      <c r="I9" s="49"/>
      <c r="J9" s="51">
        <f>ROUNDUP(E9*0.75,2)</f>
        <v>3.75</v>
      </c>
      <c r="K9" s="51" t="s">
        <v>33</v>
      </c>
      <c r="L9" s="51" t="s">
        <v>32</v>
      </c>
      <c r="M9" s="75" t="e">
        <f>#REF!</f>
        <v>#REF!</v>
      </c>
      <c r="N9" s="63" t="s">
        <v>190</v>
      </c>
      <c r="O9" s="52" t="s">
        <v>30</v>
      </c>
      <c r="P9" s="49"/>
      <c r="Q9" s="53">
        <v>2</v>
      </c>
      <c r="R9" s="84">
        <f t="shared" si="0"/>
        <v>1.5</v>
      </c>
    </row>
    <row r="10" spans="1:19" ht="20.100000000000001" customHeight="1" x14ac:dyDescent="0.15">
      <c r="A10" s="223"/>
      <c r="B10" s="63"/>
      <c r="C10" s="48"/>
      <c r="D10" s="49"/>
      <c r="E10" s="50"/>
      <c r="F10" s="51"/>
      <c r="G10" s="67"/>
      <c r="H10" s="71"/>
      <c r="I10" s="49"/>
      <c r="J10" s="51"/>
      <c r="K10" s="51"/>
      <c r="L10" s="51"/>
      <c r="M10" s="75"/>
      <c r="N10" s="63" t="s">
        <v>21</v>
      </c>
      <c r="O10" s="52" t="s">
        <v>48</v>
      </c>
      <c r="P10" s="49" t="s">
        <v>29</v>
      </c>
      <c r="Q10" s="53">
        <v>1.5</v>
      </c>
      <c r="R10" s="84">
        <f t="shared" si="0"/>
        <v>1.1300000000000001</v>
      </c>
    </row>
    <row r="11" spans="1:19" ht="20.100000000000001" customHeight="1" x14ac:dyDescent="0.15">
      <c r="A11" s="223"/>
      <c r="B11" s="63"/>
      <c r="C11" s="48"/>
      <c r="D11" s="49"/>
      <c r="E11" s="50"/>
      <c r="F11" s="51"/>
      <c r="G11" s="67"/>
      <c r="H11" s="71"/>
      <c r="I11" s="49"/>
      <c r="J11" s="51"/>
      <c r="K11" s="51"/>
      <c r="L11" s="51"/>
      <c r="M11" s="75"/>
      <c r="N11" s="63"/>
      <c r="O11" s="52" t="s">
        <v>47</v>
      </c>
      <c r="P11" s="49"/>
      <c r="Q11" s="53">
        <v>2</v>
      </c>
      <c r="R11" s="84">
        <f t="shared" si="0"/>
        <v>1.5</v>
      </c>
    </row>
    <row r="12" spans="1:19" ht="20.100000000000001" customHeight="1" x14ac:dyDescent="0.15">
      <c r="A12" s="223"/>
      <c r="B12" s="63"/>
      <c r="C12" s="48"/>
      <c r="D12" s="49"/>
      <c r="E12" s="50"/>
      <c r="F12" s="51"/>
      <c r="G12" s="67"/>
      <c r="H12" s="71"/>
      <c r="I12" s="49"/>
      <c r="J12" s="51"/>
      <c r="K12" s="51"/>
      <c r="L12" s="51"/>
      <c r="M12" s="75"/>
      <c r="N12" s="63"/>
      <c r="O12" s="52" t="s">
        <v>63</v>
      </c>
      <c r="P12" s="49" t="s">
        <v>60</v>
      </c>
      <c r="Q12" s="53">
        <v>2</v>
      </c>
      <c r="R12" s="84">
        <f t="shared" si="0"/>
        <v>1.5</v>
      </c>
    </row>
    <row r="13" spans="1:19" ht="20.100000000000001" customHeight="1" x14ac:dyDescent="0.15">
      <c r="A13" s="223"/>
      <c r="B13" s="63"/>
      <c r="C13" s="48"/>
      <c r="D13" s="49"/>
      <c r="E13" s="50"/>
      <c r="F13" s="51"/>
      <c r="G13" s="67"/>
      <c r="H13" s="71"/>
      <c r="I13" s="49"/>
      <c r="J13" s="51"/>
      <c r="K13" s="51"/>
      <c r="L13" s="51"/>
      <c r="M13" s="75"/>
      <c r="N13" s="63"/>
      <c r="O13" s="52" t="s">
        <v>30</v>
      </c>
      <c r="P13" s="49"/>
      <c r="Q13" s="53">
        <v>1</v>
      </c>
      <c r="R13" s="84">
        <f t="shared" si="0"/>
        <v>0.75</v>
      </c>
    </row>
    <row r="14" spans="1:19" ht="20.100000000000001" customHeight="1" x14ac:dyDescent="0.15">
      <c r="A14" s="223"/>
      <c r="B14" s="63"/>
      <c r="C14" s="48"/>
      <c r="D14" s="49"/>
      <c r="E14" s="50"/>
      <c r="F14" s="51"/>
      <c r="G14" s="67"/>
      <c r="H14" s="71"/>
      <c r="I14" s="49"/>
      <c r="J14" s="51"/>
      <c r="K14" s="51"/>
      <c r="L14" s="51"/>
      <c r="M14" s="75"/>
      <c r="N14" s="63"/>
      <c r="O14" s="52" t="s">
        <v>27</v>
      </c>
      <c r="P14" s="49"/>
      <c r="Q14" s="53">
        <v>0.05</v>
      </c>
      <c r="R14" s="84">
        <f t="shared" si="0"/>
        <v>0.04</v>
      </c>
    </row>
    <row r="15" spans="1:19" ht="20.100000000000001" customHeight="1" x14ac:dyDescent="0.15">
      <c r="A15" s="223"/>
      <c r="B15" s="63"/>
      <c r="C15" s="48"/>
      <c r="D15" s="49"/>
      <c r="E15" s="50"/>
      <c r="F15" s="51"/>
      <c r="G15" s="67"/>
      <c r="H15" s="71"/>
      <c r="I15" s="49"/>
      <c r="J15" s="51"/>
      <c r="K15" s="51"/>
      <c r="L15" s="51"/>
      <c r="M15" s="75"/>
      <c r="N15" s="63"/>
      <c r="O15" s="52" t="s">
        <v>73</v>
      </c>
      <c r="P15" s="49"/>
      <c r="Q15" s="53">
        <v>0.01</v>
      </c>
      <c r="R15" s="84">
        <f t="shared" si="0"/>
        <v>0.01</v>
      </c>
    </row>
    <row r="16" spans="1:19" ht="20.100000000000001" customHeight="1" x14ac:dyDescent="0.15">
      <c r="A16" s="223"/>
      <c r="B16" s="62"/>
      <c r="C16" s="42"/>
      <c r="D16" s="43"/>
      <c r="E16" s="44"/>
      <c r="F16" s="45"/>
      <c r="G16" s="66"/>
      <c r="H16" s="70"/>
      <c r="I16" s="43"/>
      <c r="J16" s="45"/>
      <c r="K16" s="45"/>
      <c r="L16" s="45"/>
      <c r="M16" s="74"/>
      <c r="N16" s="62"/>
      <c r="O16" s="46"/>
      <c r="P16" s="43"/>
      <c r="Q16" s="47"/>
      <c r="R16" s="85"/>
    </row>
    <row r="17" spans="1:18" ht="20.100000000000001" customHeight="1" x14ac:dyDescent="0.15">
      <c r="A17" s="223"/>
      <c r="B17" s="63" t="s">
        <v>192</v>
      </c>
      <c r="C17" s="48" t="s">
        <v>113</v>
      </c>
      <c r="D17" s="49"/>
      <c r="E17" s="50">
        <v>20</v>
      </c>
      <c r="F17" s="51" t="s">
        <v>33</v>
      </c>
      <c r="G17" s="67" t="s">
        <v>71</v>
      </c>
      <c r="H17" s="71" t="s">
        <v>113</v>
      </c>
      <c r="I17" s="49"/>
      <c r="J17" s="51">
        <f>ROUNDUP(E17*0.75,2)</f>
        <v>15</v>
      </c>
      <c r="K17" s="51" t="s">
        <v>33</v>
      </c>
      <c r="L17" s="51" t="s">
        <v>71</v>
      </c>
      <c r="M17" s="75" t="e">
        <f>#REF!</f>
        <v>#REF!</v>
      </c>
      <c r="N17" s="63" t="s">
        <v>193</v>
      </c>
      <c r="O17" s="52" t="s">
        <v>109</v>
      </c>
      <c r="P17" s="49"/>
      <c r="Q17" s="53">
        <v>0.5</v>
      </c>
      <c r="R17" s="84">
        <f t="shared" ref="R17:R22" si="1">ROUNDUP(Q17*0.75,2)</f>
        <v>0.38</v>
      </c>
    </row>
    <row r="18" spans="1:18" ht="20.100000000000001" customHeight="1" x14ac:dyDescent="0.15">
      <c r="A18" s="223"/>
      <c r="B18" s="63"/>
      <c r="C18" s="48" t="s">
        <v>138</v>
      </c>
      <c r="D18" s="49"/>
      <c r="E18" s="50">
        <v>30</v>
      </c>
      <c r="F18" s="51" t="s">
        <v>33</v>
      </c>
      <c r="G18" s="67"/>
      <c r="H18" s="71" t="s">
        <v>138</v>
      </c>
      <c r="I18" s="49"/>
      <c r="J18" s="51">
        <f>ROUNDUP(E18*0.75,2)</f>
        <v>22.5</v>
      </c>
      <c r="K18" s="51" t="s">
        <v>33</v>
      </c>
      <c r="L18" s="51"/>
      <c r="M18" s="75" t="e">
        <f>ROUND(#REF!+(#REF!*10/100),2)</f>
        <v>#REF!</v>
      </c>
      <c r="N18" s="63" t="s">
        <v>194</v>
      </c>
      <c r="O18" s="52" t="s">
        <v>30</v>
      </c>
      <c r="P18" s="49"/>
      <c r="Q18" s="53">
        <v>2</v>
      </c>
      <c r="R18" s="84">
        <f t="shared" si="1"/>
        <v>1.5</v>
      </c>
    </row>
    <row r="19" spans="1:18" ht="20.100000000000001" customHeight="1" x14ac:dyDescent="0.15">
      <c r="A19" s="223"/>
      <c r="B19" s="63"/>
      <c r="C19" s="48" t="s">
        <v>50</v>
      </c>
      <c r="D19" s="49"/>
      <c r="E19" s="50">
        <v>10</v>
      </c>
      <c r="F19" s="51" t="s">
        <v>33</v>
      </c>
      <c r="G19" s="67"/>
      <c r="H19" s="71" t="s">
        <v>50</v>
      </c>
      <c r="I19" s="49"/>
      <c r="J19" s="51">
        <f>ROUNDUP(E19*0.75,2)</f>
        <v>7.5</v>
      </c>
      <c r="K19" s="51" t="s">
        <v>33</v>
      </c>
      <c r="L19" s="51"/>
      <c r="M19" s="75" t="e">
        <f>ROUND(#REF!+(#REF!*6/100),2)</f>
        <v>#REF!</v>
      </c>
      <c r="N19" s="63" t="s">
        <v>21</v>
      </c>
      <c r="O19" s="52" t="s">
        <v>45</v>
      </c>
      <c r="P19" s="49"/>
      <c r="Q19" s="53">
        <v>30</v>
      </c>
      <c r="R19" s="84">
        <f t="shared" si="1"/>
        <v>22.5</v>
      </c>
    </row>
    <row r="20" spans="1:18" ht="20.100000000000001" customHeight="1" x14ac:dyDescent="0.15">
      <c r="A20" s="223"/>
      <c r="B20" s="63"/>
      <c r="C20" s="48" t="s">
        <v>41</v>
      </c>
      <c r="D20" s="49"/>
      <c r="E20" s="50">
        <v>5</v>
      </c>
      <c r="F20" s="51" t="s">
        <v>33</v>
      </c>
      <c r="G20" s="67"/>
      <c r="H20" s="71" t="s">
        <v>41</v>
      </c>
      <c r="I20" s="49"/>
      <c r="J20" s="51">
        <f>ROUNDUP(E20*0.75,2)</f>
        <v>3.75</v>
      </c>
      <c r="K20" s="51" t="s">
        <v>33</v>
      </c>
      <c r="L20" s="51"/>
      <c r="M20" s="75" t="e">
        <f>ROUND(#REF!+(#REF!*3/100),2)</f>
        <v>#REF!</v>
      </c>
      <c r="N20" s="63"/>
      <c r="O20" s="52" t="s">
        <v>46</v>
      </c>
      <c r="P20" s="49"/>
      <c r="Q20" s="53">
        <v>1.5</v>
      </c>
      <c r="R20" s="84">
        <f t="shared" si="1"/>
        <v>1.1300000000000001</v>
      </c>
    </row>
    <row r="21" spans="1:18" ht="20.100000000000001" customHeight="1" x14ac:dyDescent="0.15">
      <c r="A21" s="223"/>
      <c r="B21" s="63"/>
      <c r="C21" s="48"/>
      <c r="D21" s="49"/>
      <c r="E21" s="50"/>
      <c r="F21" s="51"/>
      <c r="G21" s="67"/>
      <c r="H21" s="71"/>
      <c r="I21" s="49"/>
      <c r="J21" s="51"/>
      <c r="K21" s="51"/>
      <c r="L21" s="51"/>
      <c r="M21" s="75"/>
      <c r="N21" s="63"/>
      <c r="O21" s="52" t="s">
        <v>47</v>
      </c>
      <c r="P21" s="49"/>
      <c r="Q21" s="53">
        <v>1</v>
      </c>
      <c r="R21" s="84">
        <f t="shared" si="1"/>
        <v>0.75</v>
      </c>
    </row>
    <row r="22" spans="1:18" ht="20.100000000000001" customHeight="1" x14ac:dyDescent="0.15">
      <c r="A22" s="223"/>
      <c r="B22" s="63"/>
      <c r="C22" s="48"/>
      <c r="D22" s="49"/>
      <c r="E22" s="50"/>
      <c r="F22" s="51"/>
      <c r="G22" s="67"/>
      <c r="H22" s="71"/>
      <c r="I22" s="49"/>
      <c r="J22" s="51"/>
      <c r="K22" s="51"/>
      <c r="L22" s="51"/>
      <c r="M22" s="75"/>
      <c r="N22" s="63"/>
      <c r="O22" s="52" t="s">
        <v>48</v>
      </c>
      <c r="P22" s="49" t="s">
        <v>29</v>
      </c>
      <c r="Q22" s="53">
        <v>1.5</v>
      </c>
      <c r="R22" s="84">
        <f t="shared" si="1"/>
        <v>1.1300000000000001</v>
      </c>
    </row>
    <row r="23" spans="1:18" ht="20.100000000000001" customHeight="1" x14ac:dyDescent="0.15">
      <c r="A23" s="223"/>
      <c r="B23" s="62"/>
      <c r="C23" s="42"/>
      <c r="D23" s="43"/>
      <c r="E23" s="44"/>
      <c r="F23" s="45"/>
      <c r="G23" s="66"/>
      <c r="H23" s="70"/>
      <c r="I23" s="43"/>
      <c r="J23" s="45"/>
      <c r="K23" s="45"/>
      <c r="L23" s="45"/>
      <c r="M23" s="74"/>
      <c r="N23" s="62"/>
      <c r="O23" s="46"/>
      <c r="P23" s="43"/>
      <c r="Q23" s="47"/>
      <c r="R23" s="85"/>
    </row>
    <row r="24" spans="1:18" ht="20.100000000000001" customHeight="1" x14ac:dyDescent="0.15">
      <c r="A24" s="223"/>
      <c r="B24" s="63" t="s">
        <v>147</v>
      </c>
      <c r="C24" s="48" t="s">
        <v>68</v>
      </c>
      <c r="D24" s="49" t="s">
        <v>69</v>
      </c>
      <c r="E24" s="54">
        <v>0.125</v>
      </c>
      <c r="F24" s="51" t="s">
        <v>57</v>
      </c>
      <c r="G24" s="67"/>
      <c r="H24" s="71" t="s">
        <v>68</v>
      </c>
      <c r="I24" s="49" t="s">
        <v>69</v>
      </c>
      <c r="J24" s="51">
        <f>ROUNDUP(E24*0.75,2)</f>
        <v>9.9999999999999992E-2</v>
      </c>
      <c r="K24" s="51" t="s">
        <v>57</v>
      </c>
      <c r="L24" s="51"/>
      <c r="M24" s="75" t="e">
        <f>#REF!</f>
        <v>#REF!</v>
      </c>
      <c r="N24" s="63" t="s">
        <v>39</v>
      </c>
      <c r="O24" s="52" t="s">
        <v>45</v>
      </c>
      <c r="P24" s="49"/>
      <c r="Q24" s="53">
        <v>100</v>
      </c>
      <c r="R24" s="84">
        <f>ROUNDUP(Q24*0.75,2)</f>
        <v>75</v>
      </c>
    </row>
    <row r="25" spans="1:18" ht="20.100000000000001" customHeight="1" x14ac:dyDescent="0.15">
      <c r="A25" s="223"/>
      <c r="B25" s="63"/>
      <c r="C25" s="48" t="s">
        <v>123</v>
      </c>
      <c r="D25" s="49"/>
      <c r="E25" s="50">
        <v>3</v>
      </c>
      <c r="F25" s="51" t="s">
        <v>33</v>
      </c>
      <c r="G25" s="67"/>
      <c r="H25" s="71" t="s">
        <v>123</v>
      </c>
      <c r="I25" s="49"/>
      <c r="J25" s="51">
        <f>ROUNDUP(E25*0.75,2)</f>
        <v>2.25</v>
      </c>
      <c r="K25" s="51" t="s">
        <v>33</v>
      </c>
      <c r="L25" s="51"/>
      <c r="M25" s="75" t="e">
        <f>ROUND(#REF!+(#REF!*40/100),2)</f>
        <v>#REF!</v>
      </c>
      <c r="N25" s="63"/>
      <c r="O25" s="52" t="s">
        <v>27</v>
      </c>
      <c r="P25" s="49"/>
      <c r="Q25" s="53">
        <v>0.1</v>
      </c>
      <c r="R25" s="84">
        <f>ROUNDUP(Q25*0.75,2)</f>
        <v>0.08</v>
      </c>
    </row>
    <row r="26" spans="1:18" ht="20.100000000000001" customHeight="1" x14ac:dyDescent="0.15">
      <c r="A26" s="223"/>
      <c r="B26" s="63"/>
      <c r="C26" s="48"/>
      <c r="D26" s="49"/>
      <c r="E26" s="50"/>
      <c r="F26" s="51"/>
      <c r="G26" s="67"/>
      <c r="H26" s="71"/>
      <c r="I26" s="49"/>
      <c r="J26" s="51"/>
      <c r="K26" s="51"/>
      <c r="L26" s="51"/>
      <c r="M26" s="75"/>
      <c r="N26" s="63"/>
      <c r="O26" s="52" t="s">
        <v>48</v>
      </c>
      <c r="P26" s="49" t="s">
        <v>29</v>
      </c>
      <c r="Q26" s="53">
        <v>0.5</v>
      </c>
      <c r="R26" s="84">
        <f>ROUNDUP(Q26*0.75,2)</f>
        <v>0.38</v>
      </c>
    </row>
    <row r="27" spans="1:18" ht="20.100000000000001" customHeight="1" x14ac:dyDescent="0.15">
      <c r="A27" s="223"/>
      <c r="B27" s="62"/>
      <c r="C27" s="42"/>
      <c r="D27" s="43"/>
      <c r="E27" s="44"/>
      <c r="F27" s="45"/>
      <c r="G27" s="66"/>
      <c r="H27" s="70"/>
      <c r="I27" s="43"/>
      <c r="J27" s="45"/>
      <c r="K27" s="45"/>
      <c r="L27" s="45"/>
      <c r="M27" s="74"/>
      <c r="N27" s="62"/>
      <c r="O27" s="46"/>
      <c r="P27" s="43"/>
      <c r="Q27" s="47"/>
      <c r="R27" s="85"/>
    </row>
    <row r="28" spans="1:18" ht="20.100000000000001" customHeight="1" x14ac:dyDescent="0.15">
      <c r="A28" s="223"/>
      <c r="B28" s="63" t="s">
        <v>124</v>
      </c>
      <c r="C28" s="48" t="s">
        <v>125</v>
      </c>
      <c r="D28" s="49"/>
      <c r="E28" s="78">
        <v>0.16666666666666666</v>
      </c>
      <c r="F28" s="51" t="s">
        <v>57</v>
      </c>
      <c r="G28" s="67"/>
      <c r="H28" s="71" t="s">
        <v>125</v>
      </c>
      <c r="I28" s="49"/>
      <c r="J28" s="51">
        <f>ROUNDUP(E28*0.75,2)</f>
        <v>0.13</v>
      </c>
      <c r="K28" s="51" t="s">
        <v>57</v>
      </c>
      <c r="L28" s="51"/>
      <c r="M28" s="75" t="e">
        <f>#REF!</f>
        <v>#REF!</v>
      </c>
      <c r="N28" s="63" t="s">
        <v>315</v>
      </c>
      <c r="O28" s="52"/>
      <c r="P28" s="49"/>
      <c r="Q28" s="53"/>
      <c r="R28" s="84"/>
    </row>
    <row r="29" spans="1:18" ht="20.100000000000001" customHeight="1" thickBot="1" x14ac:dyDescent="0.2">
      <c r="A29" s="224"/>
      <c r="B29" s="64"/>
      <c r="C29" s="55"/>
      <c r="D29" s="56"/>
      <c r="E29" s="57"/>
      <c r="F29" s="58"/>
      <c r="G29" s="68"/>
      <c r="H29" s="72"/>
      <c r="I29" s="56"/>
      <c r="J29" s="58"/>
      <c r="K29" s="58"/>
      <c r="L29" s="58"/>
      <c r="M29" s="76"/>
      <c r="N29" s="64"/>
      <c r="O29" s="59"/>
      <c r="P29" s="56"/>
      <c r="Q29" s="60"/>
      <c r="R29" s="86"/>
    </row>
  </sheetData>
  <mergeCells count="4">
    <mergeCell ref="H1:N1"/>
    <mergeCell ref="A2:R2"/>
    <mergeCell ref="A3:F3"/>
    <mergeCell ref="A5:A29"/>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199</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15</v>
      </c>
      <c r="C5" s="36"/>
      <c r="D5" s="37"/>
      <c r="E5" s="38"/>
      <c r="F5" s="39"/>
      <c r="G5" s="65"/>
      <c r="H5" s="69"/>
      <c r="I5" s="37"/>
      <c r="J5" s="39"/>
      <c r="K5" s="39"/>
      <c r="L5" s="39"/>
      <c r="M5" s="73"/>
      <c r="N5" s="61"/>
      <c r="O5" s="40" t="s">
        <v>15</v>
      </c>
      <c r="P5" s="37"/>
      <c r="Q5" s="41">
        <v>110</v>
      </c>
      <c r="R5" s="83">
        <f>ROUNDUP(Q5*0.75,2)</f>
        <v>82.5</v>
      </c>
    </row>
    <row r="6" spans="1:19" ht="24.95" customHeight="1" x14ac:dyDescent="0.15">
      <c r="A6" s="223"/>
      <c r="B6" s="62"/>
      <c r="C6" s="42"/>
      <c r="D6" s="43"/>
      <c r="E6" s="44"/>
      <c r="F6" s="45"/>
      <c r="G6" s="66"/>
      <c r="H6" s="70"/>
      <c r="I6" s="43"/>
      <c r="J6" s="45"/>
      <c r="K6" s="45"/>
      <c r="L6" s="45"/>
      <c r="M6" s="74"/>
      <c r="N6" s="62"/>
      <c r="O6" s="46"/>
      <c r="P6" s="43"/>
      <c r="Q6" s="47"/>
      <c r="R6" s="85"/>
    </row>
    <row r="7" spans="1:19" ht="24.95" customHeight="1" x14ac:dyDescent="0.15">
      <c r="A7" s="223"/>
      <c r="B7" s="63" t="s">
        <v>200</v>
      </c>
      <c r="C7" s="48" t="s">
        <v>173</v>
      </c>
      <c r="D7" s="49"/>
      <c r="E7" s="80">
        <v>0.33333333333333331</v>
      </c>
      <c r="F7" s="51" t="s">
        <v>143</v>
      </c>
      <c r="G7" s="67" t="s">
        <v>43</v>
      </c>
      <c r="H7" s="71" t="s">
        <v>173</v>
      </c>
      <c r="I7" s="49"/>
      <c r="J7" s="51">
        <f>ROUNDUP(E7*0.75,2)</f>
        <v>0.25</v>
      </c>
      <c r="K7" s="51" t="s">
        <v>143</v>
      </c>
      <c r="L7" s="51" t="s">
        <v>43</v>
      </c>
      <c r="M7" s="75" t="e">
        <f>#REF!</f>
        <v>#REF!</v>
      </c>
      <c r="N7" s="63" t="s">
        <v>201</v>
      </c>
      <c r="O7" s="52" t="s">
        <v>109</v>
      </c>
      <c r="P7" s="49"/>
      <c r="Q7" s="53">
        <v>0.5</v>
      </c>
      <c r="R7" s="84">
        <f t="shared" ref="R7:R13" si="0">ROUNDUP(Q7*0.75,2)</f>
        <v>0.38</v>
      </c>
    </row>
    <row r="8" spans="1:19" ht="24.95" customHeight="1" x14ac:dyDescent="0.15">
      <c r="A8" s="223"/>
      <c r="B8" s="63"/>
      <c r="C8" s="48" t="s">
        <v>113</v>
      </c>
      <c r="D8" s="49"/>
      <c r="E8" s="50">
        <v>20</v>
      </c>
      <c r="F8" s="51" t="s">
        <v>33</v>
      </c>
      <c r="G8" s="67" t="s">
        <v>71</v>
      </c>
      <c r="H8" s="71" t="s">
        <v>113</v>
      </c>
      <c r="I8" s="49"/>
      <c r="J8" s="51">
        <f>ROUNDUP(E8*0.75,2)</f>
        <v>15</v>
      </c>
      <c r="K8" s="51" t="s">
        <v>33</v>
      </c>
      <c r="L8" s="51" t="s">
        <v>71</v>
      </c>
      <c r="M8" s="75" t="e">
        <f>#REF!</f>
        <v>#REF!</v>
      </c>
      <c r="N8" s="63" t="s">
        <v>202</v>
      </c>
      <c r="O8" s="52" t="s">
        <v>44</v>
      </c>
      <c r="P8" s="49"/>
      <c r="Q8" s="53">
        <v>2</v>
      </c>
      <c r="R8" s="84">
        <f t="shared" si="0"/>
        <v>1.5</v>
      </c>
    </row>
    <row r="9" spans="1:19" ht="24.95" customHeight="1" x14ac:dyDescent="0.15">
      <c r="A9" s="223"/>
      <c r="B9" s="63"/>
      <c r="C9" s="48" t="s">
        <v>122</v>
      </c>
      <c r="D9" s="49"/>
      <c r="E9" s="50">
        <v>20</v>
      </c>
      <c r="F9" s="51" t="s">
        <v>33</v>
      </c>
      <c r="G9" s="67"/>
      <c r="H9" s="71" t="s">
        <v>122</v>
      </c>
      <c r="I9" s="49"/>
      <c r="J9" s="51">
        <f>ROUNDUP(E9*0.75,2)</f>
        <v>15</v>
      </c>
      <c r="K9" s="51" t="s">
        <v>33</v>
      </c>
      <c r="L9" s="51"/>
      <c r="M9" s="75" t="e">
        <f>ROUND(#REF!+(#REF!*6/100),2)</f>
        <v>#REF!</v>
      </c>
      <c r="N9" s="63" t="s">
        <v>203</v>
      </c>
      <c r="O9" s="52" t="s">
        <v>45</v>
      </c>
      <c r="P9" s="49"/>
      <c r="Q9" s="53">
        <v>15</v>
      </c>
      <c r="R9" s="84">
        <f t="shared" si="0"/>
        <v>11.25</v>
      </c>
    </row>
    <row r="10" spans="1:19" ht="24.95" customHeight="1" x14ac:dyDescent="0.15">
      <c r="A10" s="223"/>
      <c r="B10" s="63"/>
      <c r="C10" s="48" t="s">
        <v>41</v>
      </c>
      <c r="D10" s="49"/>
      <c r="E10" s="50">
        <v>5</v>
      </c>
      <c r="F10" s="51" t="s">
        <v>33</v>
      </c>
      <c r="G10" s="67"/>
      <c r="H10" s="71" t="s">
        <v>41</v>
      </c>
      <c r="I10" s="49"/>
      <c r="J10" s="51">
        <f>ROUNDUP(E10*0.75,2)</f>
        <v>3.75</v>
      </c>
      <c r="K10" s="51" t="s">
        <v>33</v>
      </c>
      <c r="L10" s="51"/>
      <c r="M10" s="75" t="e">
        <f>ROUND(#REF!+(#REF!*3/100),2)</f>
        <v>#REF!</v>
      </c>
      <c r="N10" s="63" t="s">
        <v>67</v>
      </c>
      <c r="O10" s="52" t="s">
        <v>46</v>
      </c>
      <c r="P10" s="49"/>
      <c r="Q10" s="53">
        <v>0.8</v>
      </c>
      <c r="R10" s="84">
        <f t="shared" si="0"/>
        <v>0.6</v>
      </c>
    </row>
    <row r="11" spans="1:19" ht="24.95" customHeight="1" x14ac:dyDescent="0.15">
      <c r="A11" s="223"/>
      <c r="B11" s="63"/>
      <c r="C11" s="48" t="s">
        <v>74</v>
      </c>
      <c r="D11" s="49"/>
      <c r="E11" s="50">
        <v>2</v>
      </c>
      <c r="F11" s="51" t="s">
        <v>33</v>
      </c>
      <c r="G11" s="67"/>
      <c r="H11" s="71" t="s">
        <v>74</v>
      </c>
      <c r="I11" s="49"/>
      <c r="J11" s="51">
        <f>ROUNDUP(E11*0.75,2)</f>
        <v>1.5</v>
      </c>
      <c r="K11" s="51" t="s">
        <v>33</v>
      </c>
      <c r="L11" s="51"/>
      <c r="M11" s="75" t="e">
        <f>ROUND(#REF!+(#REF!*10/100),2)</f>
        <v>#REF!</v>
      </c>
      <c r="N11" s="63" t="s">
        <v>39</v>
      </c>
      <c r="O11" s="52" t="s">
        <v>47</v>
      </c>
      <c r="P11" s="49"/>
      <c r="Q11" s="53">
        <v>2.5</v>
      </c>
      <c r="R11" s="84">
        <f t="shared" si="0"/>
        <v>1.8800000000000001</v>
      </c>
    </row>
    <row r="12" spans="1:19" ht="24.95" customHeight="1" x14ac:dyDescent="0.15">
      <c r="A12" s="223"/>
      <c r="B12" s="63"/>
      <c r="C12" s="48"/>
      <c r="D12" s="49"/>
      <c r="E12" s="50"/>
      <c r="F12" s="51"/>
      <c r="G12" s="67"/>
      <c r="H12" s="71"/>
      <c r="I12" s="49"/>
      <c r="J12" s="51"/>
      <c r="K12" s="51"/>
      <c r="L12" s="51"/>
      <c r="M12" s="75"/>
      <c r="N12" s="63"/>
      <c r="O12" s="52" t="s">
        <v>48</v>
      </c>
      <c r="P12" s="49" t="s">
        <v>29</v>
      </c>
      <c r="Q12" s="53">
        <v>3</v>
      </c>
      <c r="R12" s="84">
        <f t="shared" si="0"/>
        <v>2.25</v>
      </c>
    </row>
    <row r="13" spans="1:19" ht="24.95" customHeight="1" x14ac:dyDescent="0.15">
      <c r="A13" s="223"/>
      <c r="B13" s="63"/>
      <c r="C13" s="48"/>
      <c r="D13" s="49"/>
      <c r="E13" s="50"/>
      <c r="F13" s="51"/>
      <c r="G13" s="67"/>
      <c r="H13" s="71"/>
      <c r="I13" s="49"/>
      <c r="J13" s="51"/>
      <c r="K13" s="51"/>
      <c r="L13" s="51"/>
      <c r="M13" s="75"/>
      <c r="N13" s="63"/>
      <c r="O13" s="52" t="s">
        <v>27</v>
      </c>
      <c r="P13" s="49"/>
      <c r="Q13" s="53">
        <v>0.1</v>
      </c>
      <c r="R13" s="84">
        <f t="shared" si="0"/>
        <v>0.08</v>
      </c>
    </row>
    <row r="14" spans="1:19" ht="24.95" customHeight="1" x14ac:dyDescent="0.15">
      <c r="A14" s="223"/>
      <c r="B14" s="62"/>
      <c r="C14" s="42"/>
      <c r="D14" s="43"/>
      <c r="E14" s="44"/>
      <c r="F14" s="45"/>
      <c r="G14" s="66"/>
      <c r="H14" s="70"/>
      <c r="I14" s="43"/>
      <c r="J14" s="45"/>
      <c r="K14" s="45"/>
      <c r="L14" s="45"/>
      <c r="M14" s="74"/>
      <c r="N14" s="62"/>
      <c r="O14" s="46"/>
      <c r="P14" s="43"/>
      <c r="Q14" s="47"/>
      <c r="R14" s="85"/>
    </row>
    <row r="15" spans="1:19" ht="24.95" customHeight="1" x14ac:dyDescent="0.15">
      <c r="A15" s="223"/>
      <c r="B15" s="63" t="s">
        <v>204</v>
      </c>
      <c r="C15" s="48" t="s">
        <v>206</v>
      </c>
      <c r="D15" s="49"/>
      <c r="E15" s="50">
        <v>30</v>
      </c>
      <c r="F15" s="51" t="s">
        <v>33</v>
      </c>
      <c r="G15" s="67"/>
      <c r="H15" s="71" t="s">
        <v>206</v>
      </c>
      <c r="I15" s="49"/>
      <c r="J15" s="51">
        <f>ROUNDUP(E15*0.75,2)</f>
        <v>22.5</v>
      </c>
      <c r="K15" s="51" t="s">
        <v>33</v>
      </c>
      <c r="L15" s="51"/>
      <c r="M15" s="75" t="e">
        <f>ROUND(#REF!+(#REF!*9/100),2)</f>
        <v>#REF!</v>
      </c>
      <c r="N15" s="63" t="s">
        <v>287</v>
      </c>
      <c r="O15" s="52" t="s">
        <v>46</v>
      </c>
      <c r="P15" s="49"/>
      <c r="Q15" s="53">
        <v>1</v>
      </c>
      <c r="R15" s="84">
        <f>ROUNDUP(Q15*0.75,2)</f>
        <v>0.75</v>
      </c>
    </row>
    <row r="16" spans="1:19" ht="24.95" customHeight="1" x14ac:dyDescent="0.15">
      <c r="A16" s="223"/>
      <c r="B16" s="63"/>
      <c r="C16" s="48" t="s">
        <v>35</v>
      </c>
      <c r="D16" s="49"/>
      <c r="E16" s="50">
        <v>10</v>
      </c>
      <c r="F16" s="51" t="s">
        <v>33</v>
      </c>
      <c r="G16" s="67"/>
      <c r="H16" s="71" t="s">
        <v>35</v>
      </c>
      <c r="I16" s="49"/>
      <c r="J16" s="51">
        <f>ROUNDUP(E16*0.75,2)</f>
        <v>7.5</v>
      </c>
      <c r="K16" s="51" t="s">
        <v>33</v>
      </c>
      <c r="L16" s="51"/>
      <c r="M16" s="75" t="e">
        <f>ROUND(#REF!+(#REF!*3/100),2)</f>
        <v>#REF!</v>
      </c>
      <c r="N16" s="63" t="s">
        <v>288</v>
      </c>
      <c r="O16" s="52" t="s">
        <v>27</v>
      </c>
      <c r="P16" s="49"/>
      <c r="Q16" s="53">
        <v>0.1</v>
      </c>
      <c r="R16" s="84">
        <f>ROUNDUP(Q16*0.75,2)</f>
        <v>0.08</v>
      </c>
    </row>
    <row r="17" spans="1:18" ht="24.95" customHeight="1" x14ac:dyDescent="0.15">
      <c r="A17" s="223"/>
      <c r="B17" s="63"/>
      <c r="C17" s="48" t="s">
        <v>51</v>
      </c>
      <c r="D17" s="49"/>
      <c r="E17" s="50">
        <v>0.5</v>
      </c>
      <c r="F17" s="51" t="s">
        <v>33</v>
      </c>
      <c r="G17" s="67" t="s">
        <v>52</v>
      </c>
      <c r="H17" s="71" t="s">
        <v>51</v>
      </c>
      <c r="I17" s="49"/>
      <c r="J17" s="51">
        <f>ROUNDUP(E17*0.75,2)</f>
        <v>0.38</v>
      </c>
      <c r="K17" s="51" t="s">
        <v>33</v>
      </c>
      <c r="L17" s="51" t="s">
        <v>52</v>
      </c>
      <c r="M17" s="75" t="e">
        <f>#REF!</f>
        <v>#REF!</v>
      </c>
      <c r="N17" s="63" t="s">
        <v>205</v>
      </c>
      <c r="O17" s="52" t="s">
        <v>77</v>
      </c>
      <c r="P17" s="49"/>
      <c r="Q17" s="53">
        <v>2</v>
      </c>
      <c r="R17" s="84">
        <f>ROUNDUP(Q17*0.75,2)</f>
        <v>1.5</v>
      </c>
    </row>
    <row r="18" spans="1:18" ht="24.95" customHeight="1" x14ac:dyDescent="0.15">
      <c r="A18" s="223"/>
      <c r="B18" s="63"/>
      <c r="C18" s="48"/>
      <c r="D18" s="49"/>
      <c r="E18" s="50"/>
      <c r="F18" s="51"/>
      <c r="G18" s="67"/>
      <c r="H18" s="71"/>
      <c r="I18" s="49"/>
      <c r="J18" s="51"/>
      <c r="K18" s="51"/>
      <c r="L18" s="51"/>
      <c r="M18" s="75"/>
      <c r="N18" s="63" t="s">
        <v>39</v>
      </c>
      <c r="O18" s="52" t="s">
        <v>30</v>
      </c>
      <c r="P18" s="49"/>
      <c r="Q18" s="53">
        <v>2</v>
      </c>
      <c r="R18" s="84">
        <f>ROUNDUP(Q18*0.75,2)</f>
        <v>1.5</v>
      </c>
    </row>
    <row r="19" spans="1:18" ht="24.95" customHeight="1" x14ac:dyDescent="0.15">
      <c r="A19" s="223"/>
      <c r="B19" s="62"/>
      <c r="C19" s="42"/>
      <c r="D19" s="43"/>
      <c r="E19" s="44"/>
      <c r="F19" s="45"/>
      <c r="G19" s="66"/>
      <c r="H19" s="70"/>
      <c r="I19" s="43"/>
      <c r="J19" s="45"/>
      <c r="K19" s="45"/>
      <c r="L19" s="45"/>
      <c r="M19" s="74"/>
      <c r="N19" s="62"/>
      <c r="O19" s="46"/>
      <c r="P19" s="43"/>
      <c r="Q19" s="47"/>
      <c r="R19" s="85"/>
    </row>
    <row r="20" spans="1:18" ht="24.95" customHeight="1" x14ac:dyDescent="0.15">
      <c r="A20" s="223"/>
      <c r="B20" s="63" t="s">
        <v>49</v>
      </c>
      <c r="C20" s="48" t="s">
        <v>50</v>
      </c>
      <c r="D20" s="49"/>
      <c r="E20" s="50">
        <v>20</v>
      </c>
      <c r="F20" s="51" t="s">
        <v>33</v>
      </c>
      <c r="G20" s="67"/>
      <c r="H20" s="71" t="s">
        <v>50</v>
      </c>
      <c r="I20" s="49"/>
      <c r="J20" s="51">
        <f>ROUNDUP(E20*0.75,2)</f>
        <v>15</v>
      </c>
      <c r="K20" s="51" t="s">
        <v>33</v>
      </c>
      <c r="L20" s="51"/>
      <c r="M20" s="75" t="e">
        <f>ROUND(#REF!+(#REF!*6/100),2)</f>
        <v>#REF!</v>
      </c>
      <c r="N20" s="63" t="s">
        <v>39</v>
      </c>
      <c r="O20" s="52" t="s">
        <v>45</v>
      </c>
      <c r="P20" s="49"/>
      <c r="Q20" s="53">
        <v>100</v>
      </c>
      <c r="R20" s="84">
        <f>ROUNDUP(Q20*0.75,2)</f>
        <v>75</v>
      </c>
    </row>
    <row r="21" spans="1:18" ht="24.95" customHeight="1" x14ac:dyDescent="0.15">
      <c r="A21" s="223"/>
      <c r="B21" s="63"/>
      <c r="C21" s="48" t="s">
        <v>207</v>
      </c>
      <c r="D21" s="49"/>
      <c r="E21" s="50">
        <v>5</v>
      </c>
      <c r="F21" s="51" t="s">
        <v>33</v>
      </c>
      <c r="G21" s="67"/>
      <c r="H21" s="71" t="s">
        <v>207</v>
      </c>
      <c r="I21" s="49"/>
      <c r="J21" s="51">
        <f>ROUNDUP(E21*0.75,2)</f>
        <v>3.75</v>
      </c>
      <c r="K21" s="51" t="s">
        <v>33</v>
      </c>
      <c r="L21" s="51"/>
      <c r="M21" s="75" t="e">
        <f>ROUND(#REF!+(#REF!*15/100),2)</f>
        <v>#REF!</v>
      </c>
      <c r="N21" s="63"/>
      <c r="O21" s="52" t="s">
        <v>53</v>
      </c>
      <c r="P21" s="49"/>
      <c r="Q21" s="53">
        <v>3</v>
      </c>
      <c r="R21" s="84">
        <f>ROUNDUP(Q21*0.75,2)</f>
        <v>2.25</v>
      </c>
    </row>
    <row r="22" spans="1:18" ht="24.95" customHeight="1" x14ac:dyDescent="0.15">
      <c r="A22" s="223"/>
      <c r="B22" s="62"/>
      <c r="C22" s="42"/>
      <c r="D22" s="43"/>
      <c r="E22" s="44"/>
      <c r="F22" s="45"/>
      <c r="G22" s="66"/>
      <c r="H22" s="70"/>
      <c r="I22" s="43"/>
      <c r="J22" s="45"/>
      <c r="K22" s="45"/>
      <c r="L22" s="45"/>
      <c r="M22" s="74"/>
      <c r="N22" s="62"/>
      <c r="O22" s="46"/>
      <c r="P22" s="43"/>
      <c r="Q22" s="47"/>
      <c r="R22" s="85"/>
    </row>
    <row r="23" spans="1:18" ht="24.95" customHeight="1" x14ac:dyDescent="0.15">
      <c r="A23" s="223"/>
      <c r="B23" s="63" t="s">
        <v>54</v>
      </c>
      <c r="C23" s="48" t="s">
        <v>56</v>
      </c>
      <c r="D23" s="49"/>
      <c r="E23" s="54">
        <v>0.125</v>
      </c>
      <c r="F23" s="51" t="s">
        <v>57</v>
      </c>
      <c r="G23" s="67"/>
      <c r="H23" s="71" t="s">
        <v>56</v>
      </c>
      <c r="I23" s="49"/>
      <c r="J23" s="51">
        <f>ROUNDUP(E23*0.75,2)</f>
        <v>9.9999999999999992E-2</v>
      </c>
      <c r="K23" s="51" t="s">
        <v>57</v>
      </c>
      <c r="L23" s="51"/>
      <c r="M23" s="75" t="e">
        <f>#REF!</f>
        <v>#REF!</v>
      </c>
      <c r="N23" s="63" t="s">
        <v>55</v>
      </c>
      <c r="O23" s="52"/>
      <c r="P23" s="49"/>
      <c r="Q23" s="53"/>
      <c r="R23" s="84"/>
    </row>
    <row r="24" spans="1:18" ht="24.95" customHeight="1" thickBot="1" x14ac:dyDescent="0.2">
      <c r="A24" s="224"/>
      <c r="B24" s="64"/>
      <c r="C24" s="55"/>
      <c r="D24" s="56"/>
      <c r="E24" s="57"/>
      <c r="F24" s="58"/>
      <c r="G24" s="68"/>
      <c r="H24" s="72"/>
      <c r="I24" s="56"/>
      <c r="J24" s="58"/>
      <c r="K24" s="58"/>
      <c r="L24" s="58"/>
      <c r="M24" s="76"/>
      <c r="N24" s="64"/>
      <c r="O24" s="59"/>
      <c r="P24" s="56"/>
      <c r="Q24" s="60"/>
      <c r="R24" s="86"/>
    </row>
    <row r="25" spans="1:18" ht="24.95" customHeight="1" x14ac:dyDescent="0.15"/>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209</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22" t="s">
        <v>58</v>
      </c>
      <c r="B5" s="61" t="s">
        <v>210</v>
      </c>
      <c r="C5" s="36" t="s">
        <v>165</v>
      </c>
      <c r="D5" s="37" t="s">
        <v>29</v>
      </c>
      <c r="E5" s="38">
        <v>40</v>
      </c>
      <c r="F5" s="39" t="s">
        <v>33</v>
      </c>
      <c r="G5" s="65" t="s">
        <v>166</v>
      </c>
      <c r="H5" s="69" t="s">
        <v>165</v>
      </c>
      <c r="I5" s="37" t="s">
        <v>29</v>
      </c>
      <c r="J5" s="39">
        <f>ROUNDUP(E5*0.75,2)</f>
        <v>30</v>
      </c>
      <c r="K5" s="39" t="s">
        <v>33</v>
      </c>
      <c r="L5" s="39" t="s">
        <v>166</v>
      </c>
      <c r="M5" s="73" t="e">
        <f>#REF!</f>
        <v>#REF!</v>
      </c>
      <c r="N5" s="61" t="s">
        <v>211</v>
      </c>
      <c r="O5" s="40" t="s">
        <v>63</v>
      </c>
      <c r="P5" s="37" t="s">
        <v>60</v>
      </c>
      <c r="Q5" s="41">
        <v>2</v>
      </c>
      <c r="R5" s="83">
        <f>ROUNDUP(Q5*0.75,2)</f>
        <v>1.5</v>
      </c>
    </row>
    <row r="6" spans="1:19" ht="24.95" customHeight="1" x14ac:dyDescent="0.15">
      <c r="A6" s="223"/>
      <c r="B6" s="63"/>
      <c r="C6" s="48" t="s">
        <v>70</v>
      </c>
      <c r="D6" s="49"/>
      <c r="E6" s="50">
        <v>20</v>
      </c>
      <c r="F6" s="51" t="s">
        <v>33</v>
      </c>
      <c r="G6" s="67" t="s">
        <v>71</v>
      </c>
      <c r="H6" s="71" t="s">
        <v>70</v>
      </c>
      <c r="I6" s="49"/>
      <c r="J6" s="51">
        <f>ROUNDUP(E6*0.75,2)</f>
        <v>15</v>
      </c>
      <c r="K6" s="51" t="s">
        <v>33</v>
      </c>
      <c r="L6" s="51" t="s">
        <v>71</v>
      </c>
      <c r="M6" s="75" t="e">
        <f>#REF!</f>
        <v>#REF!</v>
      </c>
      <c r="N6" s="63" t="s">
        <v>305</v>
      </c>
      <c r="O6" s="52" t="s">
        <v>30</v>
      </c>
      <c r="P6" s="49"/>
      <c r="Q6" s="53">
        <v>2</v>
      </c>
      <c r="R6" s="84">
        <f>ROUNDUP(Q6*0.75,2)</f>
        <v>1.5</v>
      </c>
    </row>
    <row r="7" spans="1:19" ht="24.95" customHeight="1" x14ac:dyDescent="0.15">
      <c r="A7" s="223"/>
      <c r="B7" s="63"/>
      <c r="C7" s="48" t="s">
        <v>50</v>
      </c>
      <c r="D7" s="49"/>
      <c r="E7" s="50">
        <v>30</v>
      </c>
      <c r="F7" s="51" t="s">
        <v>33</v>
      </c>
      <c r="G7" s="67"/>
      <c r="H7" s="71" t="s">
        <v>50</v>
      </c>
      <c r="I7" s="49"/>
      <c r="J7" s="51">
        <f>ROUNDUP(E7*0.75,2)</f>
        <v>22.5</v>
      </c>
      <c r="K7" s="51" t="s">
        <v>33</v>
      </c>
      <c r="L7" s="51"/>
      <c r="M7" s="75" t="e">
        <f>ROUND(#REF!+(#REF!*6/100),2)</f>
        <v>#REF!</v>
      </c>
      <c r="N7" s="63" t="s">
        <v>306</v>
      </c>
      <c r="O7" s="52" t="s">
        <v>118</v>
      </c>
      <c r="P7" s="49"/>
      <c r="Q7" s="53">
        <v>10</v>
      </c>
      <c r="R7" s="84">
        <f>ROUNDUP(Q7*0.75,2)</f>
        <v>7.5</v>
      </c>
    </row>
    <row r="8" spans="1:19" ht="24.95" customHeight="1" x14ac:dyDescent="0.15">
      <c r="A8" s="223"/>
      <c r="B8" s="63"/>
      <c r="C8" s="48" t="s">
        <v>41</v>
      </c>
      <c r="D8" s="49"/>
      <c r="E8" s="50">
        <v>5</v>
      </c>
      <c r="F8" s="51" t="s">
        <v>33</v>
      </c>
      <c r="G8" s="67"/>
      <c r="H8" s="71" t="s">
        <v>41</v>
      </c>
      <c r="I8" s="49"/>
      <c r="J8" s="51">
        <f>ROUNDUP(E8*0.75,2)</f>
        <v>3.75</v>
      </c>
      <c r="K8" s="51" t="s">
        <v>33</v>
      </c>
      <c r="L8" s="51"/>
      <c r="M8" s="75" t="e">
        <f>ROUND(#REF!+(#REF!*3/100),2)</f>
        <v>#REF!</v>
      </c>
      <c r="N8" s="63" t="s">
        <v>213</v>
      </c>
      <c r="O8" s="52" t="s">
        <v>119</v>
      </c>
      <c r="P8" s="49"/>
      <c r="Q8" s="53">
        <v>2</v>
      </c>
      <c r="R8" s="84">
        <f>ROUNDUP(Q8*0.75,2)</f>
        <v>1.5</v>
      </c>
    </row>
    <row r="9" spans="1:19" ht="24.95" customHeight="1" x14ac:dyDescent="0.15">
      <c r="A9" s="223"/>
      <c r="B9" s="63"/>
      <c r="C9" s="48" t="s">
        <v>34</v>
      </c>
      <c r="D9" s="49"/>
      <c r="E9" s="50">
        <v>0.5</v>
      </c>
      <c r="F9" s="51" t="s">
        <v>33</v>
      </c>
      <c r="G9" s="67"/>
      <c r="H9" s="71" t="s">
        <v>34</v>
      </c>
      <c r="I9" s="49"/>
      <c r="J9" s="51">
        <f>ROUNDUP(E9*0.75,2)</f>
        <v>0.38</v>
      </c>
      <c r="K9" s="51" t="s">
        <v>33</v>
      </c>
      <c r="L9" s="51"/>
      <c r="M9" s="75" t="e">
        <f>ROUND(#REF!+(#REF!*10/100),2)</f>
        <v>#REF!</v>
      </c>
      <c r="N9" s="63" t="s">
        <v>39</v>
      </c>
      <c r="O9" s="52" t="s">
        <v>46</v>
      </c>
      <c r="P9" s="49"/>
      <c r="Q9" s="53">
        <v>0.5</v>
      </c>
      <c r="R9" s="84">
        <f>ROUNDUP(Q9*0.75,2)</f>
        <v>0.38</v>
      </c>
    </row>
    <row r="10" spans="1:19" ht="24.95" customHeight="1" x14ac:dyDescent="0.15">
      <c r="A10" s="223"/>
      <c r="B10" s="62"/>
      <c r="C10" s="42"/>
      <c r="D10" s="43"/>
      <c r="E10" s="44"/>
      <c r="F10" s="45"/>
      <c r="G10" s="66"/>
      <c r="H10" s="70"/>
      <c r="I10" s="43"/>
      <c r="J10" s="45"/>
      <c r="K10" s="45"/>
      <c r="L10" s="45"/>
      <c r="M10" s="74"/>
      <c r="N10" s="62"/>
      <c r="O10" s="46"/>
      <c r="P10" s="43"/>
      <c r="Q10" s="47"/>
      <c r="R10" s="85"/>
    </row>
    <row r="11" spans="1:19" ht="24.95" customHeight="1" x14ac:dyDescent="0.15">
      <c r="A11" s="223"/>
      <c r="B11" s="63" t="s">
        <v>214</v>
      </c>
      <c r="C11" s="48" t="s">
        <v>121</v>
      </c>
      <c r="D11" s="49"/>
      <c r="E11" s="50">
        <v>30</v>
      </c>
      <c r="F11" s="51" t="s">
        <v>33</v>
      </c>
      <c r="G11" s="67"/>
      <c r="H11" s="71" t="s">
        <v>121</v>
      </c>
      <c r="I11" s="49"/>
      <c r="J11" s="51">
        <f>ROUNDUP(E11*0.75,2)</f>
        <v>22.5</v>
      </c>
      <c r="K11" s="51" t="s">
        <v>33</v>
      </c>
      <c r="L11" s="51"/>
      <c r="M11" s="75" t="e">
        <f>ROUND(#REF!+(#REF!*3/100),2)</f>
        <v>#REF!</v>
      </c>
      <c r="N11" s="63" t="s">
        <v>215</v>
      </c>
      <c r="O11" s="52" t="s">
        <v>46</v>
      </c>
      <c r="P11" s="49"/>
      <c r="Q11" s="53">
        <v>1</v>
      </c>
      <c r="R11" s="84">
        <f>ROUNDUP(Q11*0.75,2)</f>
        <v>0.75</v>
      </c>
    </row>
    <row r="12" spans="1:19" ht="24.95" customHeight="1" x14ac:dyDescent="0.15">
      <c r="A12" s="223"/>
      <c r="B12" s="63"/>
      <c r="C12" s="48" t="s">
        <v>144</v>
      </c>
      <c r="D12" s="49"/>
      <c r="E12" s="50">
        <v>10</v>
      </c>
      <c r="F12" s="51" t="s">
        <v>33</v>
      </c>
      <c r="G12" s="67"/>
      <c r="H12" s="71" t="s">
        <v>144</v>
      </c>
      <c r="I12" s="49"/>
      <c r="J12" s="51">
        <f>ROUNDUP(E12*0.75,2)</f>
        <v>7.5</v>
      </c>
      <c r="K12" s="51" t="s">
        <v>33</v>
      </c>
      <c r="L12" s="51"/>
      <c r="M12" s="75" t="e">
        <f>ROUND(#REF!+(#REF!*15/100),2)</f>
        <v>#REF!</v>
      </c>
      <c r="N12" s="63" t="s">
        <v>216</v>
      </c>
      <c r="O12" s="52" t="s">
        <v>48</v>
      </c>
      <c r="P12" s="49" t="s">
        <v>29</v>
      </c>
      <c r="Q12" s="53">
        <v>1</v>
      </c>
      <c r="R12" s="84">
        <f>ROUNDUP(Q12*0.75,2)</f>
        <v>0.75</v>
      </c>
    </row>
    <row r="13" spans="1:19" ht="24.95" customHeight="1" x14ac:dyDescent="0.15">
      <c r="A13" s="223"/>
      <c r="B13" s="63"/>
      <c r="C13" s="48"/>
      <c r="D13" s="49"/>
      <c r="E13" s="50"/>
      <c r="F13" s="51"/>
      <c r="G13" s="67"/>
      <c r="H13" s="71"/>
      <c r="I13" s="49"/>
      <c r="J13" s="51"/>
      <c r="K13" s="51"/>
      <c r="L13" s="51"/>
      <c r="M13" s="75"/>
      <c r="N13" s="63" t="s">
        <v>39</v>
      </c>
      <c r="O13" s="52" t="s">
        <v>77</v>
      </c>
      <c r="P13" s="49"/>
      <c r="Q13" s="53">
        <v>2</v>
      </c>
      <c r="R13" s="84">
        <f>ROUNDUP(Q13*0.75,2)</f>
        <v>1.5</v>
      </c>
    </row>
    <row r="14" spans="1:19" ht="24.95" customHeight="1" x14ac:dyDescent="0.15">
      <c r="A14" s="223"/>
      <c r="B14" s="63"/>
      <c r="C14" s="48"/>
      <c r="D14" s="49"/>
      <c r="E14" s="50"/>
      <c r="F14" s="51"/>
      <c r="G14" s="67"/>
      <c r="H14" s="71"/>
      <c r="I14" s="49"/>
      <c r="J14" s="51"/>
      <c r="K14" s="51"/>
      <c r="L14" s="51"/>
      <c r="M14" s="75"/>
      <c r="N14" s="63"/>
      <c r="O14" s="52" t="s">
        <v>30</v>
      </c>
      <c r="P14" s="49"/>
      <c r="Q14" s="53">
        <v>2</v>
      </c>
      <c r="R14" s="84">
        <f>ROUNDUP(Q14*0.75,2)</f>
        <v>1.5</v>
      </c>
    </row>
    <row r="15" spans="1:19" ht="24.95" customHeight="1" x14ac:dyDescent="0.15">
      <c r="A15" s="223"/>
      <c r="B15" s="62"/>
      <c r="C15" s="42"/>
      <c r="D15" s="43"/>
      <c r="E15" s="44"/>
      <c r="F15" s="45"/>
      <c r="G15" s="66"/>
      <c r="H15" s="70"/>
      <c r="I15" s="43"/>
      <c r="J15" s="45"/>
      <c r="K15" s="45"/>
      <c r="L15" s="45"/>
      <c r="M15" s="74"/>
      <c r="N15" s="62"/>
      <c r="O15" s="46"/>
      <c r="P15" s="43"/>
      <c r="Q15" s="47"/>
      <c r="R15" s="85"/>
    </row>
    <row r="16" spans="1:19" ht="24.95" customHeight="1" x14ac:dyDescent="0.15">
      <c r="A16" s="223"/>
      <c r="B16" s="63" t="s">
        <v>217</v>
      </c>
      <c r="C16" s="48" t="s">
        <v>62</v>
      </c>
      <c r="D16" s="49"/>
      <c r="E16" s="50">
        <v>20</v>
      </c>
      <c r="F16" s="51" t="s">
        <v>33</v>
      </c>
      <c r="G16" s="67"/>
      <c r="H16" s="71" t="s">
        <v>62</v>
      </c>
      <c r="I16" s="49"/>
      <c r="J16" s="51">
        <f>ROUNDUP(E16*0.75,2)</f>
        <v>15</v>
      </c>
      <c r="K16" s="51" t="s">
        <v>33</v>
      </c>
      <c r="L16" s="51"/>
      <c r="M16" s="75" t="e">
        <f>ROUND(#REF!+(#REF!*10/100),2)</f>
        <v>#REF!</v>
      </c>
      <c r="N16" s="63" t="s">
        <v>78</v>
      </c>
      <c r="O16" s="52" t="s">
        <v>82</v>
      </c>
      <c r="P16" s="49"/>
      <c r="Q16" s="53">
        <v>60</v>
      </c>
      <c r="R16" s="84">
        <f>ROUNDUP(Q16*0.75,2)</f>
        <v>45</v>
      </c>
    </row>
    <row r="17" spans="1:18" ht="24.95" customHeight="1" x14ac:dyDescent="0.15">
      <c r="A17" s="223"/>
      <c r="B17" s="63"/>
      <c r="C17" s="48" t="s">
        <v>31</v>
      </c>
      <c r="D17" s="49"/>
      <c r="E17" s="50">
        <v>5</v>
      </c>
      <c r="F17" s="51" t="s">
        <v>33</v>
      </c>
      <c r="G17" s="67" t="s">
        <v>32</v>
      </c>
      <c r="H17" s="71" t="s">
        <v>31</v>
      </c>
      <c r="I17" s="49"/>
      <c r="J17" s="51">
        <f>ROUNDUP(E17*0.75,2)</f>
        <v>3.75</v>
      </c>
      <c r="K17" s="51" t="s">
        <v>33</v>
      </c>
      <c r="L17" s="51" t="s">
        <v>32</v>
      </c>
      <c r="M17" s="75" t="e">
        <f>#REF!</f>
        <v>#REF!</v>
      </c>
      <c r="N17" s="63" t="s">
        <v>283</v>
      </c>
      <c r="O17" s="52" t="s">
        <v>83</v>
      </c>
      <c r="P17" s="49" t="s">
        <v>84</v>
      </c>
      <c r="Q17" s="53">
        <v>0.5</v>
      </c>
      <c r="R17" s="84">
        <f>ROUNDUP(Q17*0.75,2)</f>
        <v>0.38</v>
      </c>
    </row>
    <row r="18" spans="1:18" ht="24.95" customHeight="1" x14ac:dyDescent="0.15">
      <c r="A18" s="223"/>
      <c r="B18" s="63"/>
      <c r="C18" s="48" t="s">
        <v>59</v>
      </c>
      <c r="D18" s="49" t="s">
        <v>60</v>
      </c>
      <c r="E18" s="50">
        <v>40</v>
      </c>
      <c r="F18" s="51" t="s">
        <v>61</v>
      </c>
      <c r="G18" s="67" t="s">
        <v>43</v>
      </c>
      <c r="H18" s="71" t="s">
        <v>59</v>
      </c>
      <c r="I18" s="49" t="s">
        <v>60</v>
      </c>
      <c r="J18" s="51">
        <f>ROUNDUP(E18*0.75,2)</f>
        <v>30</v>
      </c>
      <c r="K18" s="51" t="s">
        <v>61</v>
      </c>
      <c r="L18" s="51" t="s">
        <v>43</v>
      </c>
      <c r="M18" s="75" t="e">
        <f>#REF!</f>
        <v>#REF!</v>
      </c>
      <c r="N18" s="63" t="s">
        <v>284</v>
      </c>
      <c r="O18" s="52" t="s">
        <v>27</v>
      </c>
      <c r="P18" s="49"/>
      <c r="Q18" s="53">
        <v>0.1</v>
      </c>
      <c r="R18" s="84">
        <f>ROUNDUP(Q18*0.75,2)</f>
        <v>0.08</v>
      </c>
    </row>
    <row r="19" spans="1:18" ht="24.95" customHeight="1" x14ac:dyDescent="0.15">
      <c r="A19" s="223"/>
      <c r="B19" s="63"/>
      <c r="C19" s="48"/>
      <c r="D19" s="49"/>
      <c r="E19" s="50"/>
      <c r="F19" s="51"/>
      <c r="G19" s="67"/>
      <c r="H19" s="71"/>
      <c r="I19" s="49"/>
      <c r="J19" s="51"/>
      <c r="K19" s="51"/>
      <c r="L19" s="51"/>
      <c r="M19" s="75"/>
      <c r="N19" s="63" t="s">
        <v>79</v>
      </c>
      <c r="O19" s="52" t="s">
        <v>63</v>
      </c>
      <c r="P19" s="49" t="s">
        <v>60</v>
      </c>
      <c r="Q19" s="53">
        <v>1</v>
      </c>
      <c r="R19" s="84">
        <f>ROUNDUP(Q19*0.75,2)</f>
        <v>0.75</v>
      </c>
    </row>
    <row r="20" spans="1:18" ht="24.95" customHeight="1" x14ac:dyDescent="0.15">
      <c r="A20" s="223"/>
      <c r="B20" s="63"/>
      <c r="C20" s="48"/>
      <c r="D20" s="49"/>
      <c r="E20" s="50"/>
      <c r="F20" s="51"/>
      <c r="G20" s="67"/>
      <c r="H20" s="71"/>
      <c r="I20" s="49"/>
      <c r="J20" s="51"/>
      <c r="K20" s="51"/>
      <c r="L20" s="51"/>
      <c r="M20" s="75"/>
      <c r="N20" s="63" t="s">
        <v>39</v>
      </c>
      <c r="O20" s="52" t="s">
        <v>85</v>
      </c>
      <c r="P20" s="49"/>
      <c r="Q20" s="53">
        <v>1</v>
      </c>
      <c r="R20" s="84">
        <f>ROUNDUP(Q20*0.75,2)</f>
        <v>0.75</v>
      </c>
    </row>
    <row r="21" spans="1:18" ht="24.95" customHeight="1" thickBot="1" x14ac:dyDescent="0.2">
      <c r="A21" s="224"/>
      <c r="B21" s="64"/>
      <c r="C21" s="55"/>
      <c r="D21" s="56"/>
      <c r="E21" s="57"/>
      <c r="F21" s="58"/>
      <c r="G21" s="68"/>
      <c r="H21" s="72"/>
      <c r="I21" s="56"/>
      <c r="J21" s="58"/>
      <c r="K21" s="58"/>
      <c r="L21" s="58"/>
      <c r="M21" s="76"/>
      <c r="N21" s="64"/>
      <c r="O21" s="59"/>
      <c r="P21" s="56"/>
      <c r="Q21" s="60"/>
      <c r="R21" s="86"/>
    </row>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18"/>
      <c r="I1" s="218"/>
      <c r="J1" s="219"/>
      <c r="K1" s="219"/>
      <c r="L1" s="219"/>
      <c r="M1" s="219"/>
      <c r="N1" s="219"/>
      <c r="O1" s="2"/>
      <c r="P1" s="2"/>
      <c r="Q1" s="4"/>
      <c r="R1" s="4"/>
      <c r="S1" s="3"/>
    </row>
    <row r="2" spans="1:19" ht="36.75" customHeight="1" x14ac:dyDescent="0.15">
      <c r="A2" s="218" t="s">
        <v>0</v>
      </c>
      <c r="B2" s="218"/>
      <c r="C2" s="219"/>
      <c r="D2" s="219"/>
      <c r="E2" s="219"/>
      <c r="F2" s="219"/>
      <c r="G2" s="219"/>
      <c r="H2" s="219"/>
      <c r="I2" s="219"/>
      <c r="J2" s="219"/>
      <c r="K2" s="219"/>
      <c r="L2" s="219"/>
      <c r="M2" s="219"/>
      <c r="N2" s="219"/>
      <c r="O2" s="219"/>
      <c r="P2" s="219"/>
      <c r="Q2" s="219"/>
      <c r="R2" s="219"/>
      <c r="S2" s="3"/>
    </row>
    <row r="3" spans="1:19" ht="27.75" customHeight="1" thickBot="1" x14ac:dyDescent="0.3">
      <c r="A3" s="220" t="s">
        <v>219</v>
      </c>
      <c r="B3" s="221"/>
      <c r="C3" s="221"/>
      <c r="D3" s="221"/>
      <c r="E3" s="221"/>
      <c r="F3" s="221"/>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0.100000000000001" customHeight="1" x14ac:dyDescent="0.15">
      <c r="A5" s="222" t="s">
        <v>58</v>
      </c>
      <c r="B5" s="61" t="s">
        <v>15</v>
      </c>
      <c r="C5" s="36"/>
      <c r="D5" s="37"/>
      <c r="E5" s="38"/>
      <c r="F5" s="39"/>
      <c r="G5" s="65"/>
      <c r="H5" s="69"/>
      <c r="I5" s="37"/>
      <c r="J5" s="39"/>
      <c r="K5" s="39"/>
      <c r="L5" s="39"/>
      <c r="M5" s="73"/>
      <c r="N5" s="61"/>
      <c r="O5" s="40" t="s">
        <v>15</v>
      </c>
      <c r="P5" s="37"/>
      <c r="Q5" s="41">
        <v>110</v>
      </c>
      <c r="R5" s="83">
        <f>ROUNDUP(Q5*0.75,2)</f>
        <v>82.5</v>
      </c>
    </row>
    <row r="6" spans="1:19" ht="20.100000000000001" customHeight="1" x14ac:dyDescent="0.15">
      <c r="A6" s="223"/>
      <c r="B6" s="62"/>
      <c r="C6" s="42"/>
      <c r="D6" s="43"/>
      <c r="E6" s="44"/>
      <c r="F6" s="45"/>
      <c r="G6" s="66"/>
      <c r="H6" s="70"/>
      <c r="I6" s="43"/>
      <c r="J6" s="45"/>
      <c r="K6" s="45"/>
      <c r="L6" s="45"/>
      <c r="M6" s="74"/>
      <c r="N6" s="62"/>
      <c r="O6" s="46"/>
      <c r="P6" s="43"/>
      <c r="Q6" s="47"/>
      <c r="R6" s="85"/>
    </row>
    <row r="7" spans="1:19" ht="20.100000000000001" customHeight="1" x14ac:dyDescent="0.15">
      <c r="A7" s="223"/>
      <c r="B7" s="63" t="s">
        <v>220</v>
      </c>
      <c r="C7" s="48" t="s">
        <v>180</v>
      </c>
      <c r="D7" s="49"/>
      <c r="E7" s="50">
        <v>1</v>
      </c>
      <c r="F7" s="51" t="s">
        <v>24</v>
      </c>
      <c r="G7" s="67" t="s">
        <v>181</v>
      </c>
      <c r="H7" s="71" t="s">
        <v>180</v>
      </c>
      <c r="I7" s="49"/>
      <c r="J7" s="51">
        <f>ROUNDUP(E7*0.75,2)</f>
        <v>0.75</v>
      </c>
      <c r="K7" s="51" t="s">
        <v>24</v>
      </c>
      <c r="L7" s="51" t="s">
        <v>181</v>
      </c>
      <c r="M7" s="75" t="e">
        <f>#REF!</f>
        <v>#REF!</v>
      </c>
      <c r="N7" s="63" t="s">
        <v>291</v>
      </c>
      <c r="O7" s="52" t="s">
        <v>109</v>
      </c>
      <c r="P7" s="49"/>
      <c r="Q7" s="53">
        <v>0.5</v>
      </c>
      <c r="R7" s="84">
        <f t="shared" ref="R7:R13" si="0">ROUNDUP(Q7*0.75,2)</f>
        <v>0.38</v>
      </c>
    </row>
    <row r="8" spans="1:19" ht="20.100000000000001" customHeight="1" x14ac:dyDescent="0.15">
      <c r="A8" s="223"/>
      <c r="B8" s="63"/>
      <c r="C8" s="48" t="s">
        <v>72</v>
      </c>
      <c r="D8" s="49"/>
      <c r="E8" s="50">
        <v>5</v>
      </c>
      <c r="F8" s="51" t="s">
        <v>33</v>
      </c>
      <c r="G8" s="67"/>
      <c r="H8" s="71" t="s">
        <v>72</v>
      </c>
      <c r="I8" s="49"/>
      <c r="J8" s="51">
        <f>ROUNDUP(E8*0.75,2)</f>
        <v>3.75</v>
      </c>
      <c r="K8" s="51" t="s">
        <v>33</v>
      </c>
      <c r="L8" s="51"/>
      <c r="M8" s="75" t="e">
        <f>ROUND(#REF!+(#REF!*10/100),2)</f>
        <v>#REF!</v>
      </c>
      <c r="N8" s="63" t="s">
        <v>292</v>
      </c>
      <c r="O8" s="52" t="s">
        <v>85</v>
      </c>
      <c r="P8" s="49"/>
      <c r="Q8" s="53">
        <v>3</v>
      </c>
      <c r="R8" s="84">
        <f t="shared" si="0"/>
        <v>2.25</v>
      </c>
    </row>
    <row r="9" spans="1:19" ht="20.100000000000001" customHeight="1" x14ac:dyDescent="0.15">
      <c r="A9" s="223"/>
      <c r="B9" s="63"/>
      <c r="C9" s="48" t="s">
        <v>207</v>
      </c>
      <c r="D9" s="49"/>
      <c r="E9" s="50">
        <v>5</v>
      </c>
      <c r="F9" s="51" t="s">
        <v>33</v>
      </c>
      <c r="G9" s="67"/>
      <c r="H9" s="71" t="s">
        <v>207</v>
      </c>
      <c r="I9" s="49"/>
      <c r="J9" s="51">
        <f>ROUNDUP(E9*0.75,2)</f>
        <v>3.75</v>
      </c>
      <c r="K9" s="51" t="s">
        <v>33</v>
      </c>
      <c r="L9" s="51"/>
      <c r="M9" s="75" t="e">
        <f>ROUND(#REF!+(#REF!*15/100),2)</f>
        <v>#REF!</v>
      </c>
      <c r="N9" s="63" t="s">
        <v>221</v>
      </c>
      <c r="O9" s="52" t="s">
        <v>30</v>
      </c>
      <c r="P9" s="49"/>
      <c r="Q9" s="53">
        <v>2</v>
      </c>
      <c r="R9" s="84">
        <f t="shared" si="0"/>
        <v>1.5</v>
      </c>
    </row>
    <row r="10" spans="1:19" ht="20.100000000000001" customHeight="1" x14ac:dyDescent="0.15">
      <c r="A10" s="223"/>
      <c r="B10" s="63"/>
      <c r="C10" s="48" t="s">
        <v>224</v>
      </c>
      <c r="D10" s="49"/>
      <c r="E10" s="50">
        <v>5</v>
      </c>
      <c r="F10" s="51" t="s">
        <v>33</v>
      </c>
      <c r="G10" s="67"/>
      <c r="H10" s="71" t="s">
        <v>224</v>
      </c>
      <c r="I10" s="49"/>
      <c r="J10" s="51">
        <f>ROUNDUP(E10*0.75,2)</f>
        <v>3.75</v>
      </c>
      <c r="K10" s="51" t="s">
        <v>33</v>
      </c>
      <c r="L10" s="51"/>
      <c r="M10" s="75" t="e">
        <f>ROUND(#REF!+(#REF!*15/100),2)</f>
        <v>#REF!</v>
      </c>
      <c r="N10" s="63" t="s">
        <v>222</v>
      </c>
      <c r="O10" s="52" t="s">
        <v>45</v>
      </c>
      <c r="P10" s="49"/>
      <c r="Q10" s="53">
        <v>40</v>
      </c>
      <c r="R10" s="84">
        <f t="shared" si="0"/>
        <v>30</v>
      </c>
    </row>
    <row r="11" spans="1:19" ht="20.100000000000001" customHeight="1" x14ac:dyDescent="0.15">
      <c r="A11" s="223"/>
      <c r="B11" s="63"/>
      <c r="C11" s="48"/>
      <c r="D11" s="49"/>
      <c r="E11" s="50"/>
      <c r="F11" s="51"/>
      <c r="G11" s="67"/>
      <c r="H11" s="71"/>
      <c r="I11" s="49"/>
      <c r="J11" s="51"/>
      <c r="K11" s="51"/>
      <c r="L11" s="51"/>
      <c r="M11" s="75"/>
      <c r="N11" s="63" t="s">
        <v>223</v>
      </c>
      <c r="O11" s="52" t="s">
        <v>47</v>
      </c>
      <c r="P11" s="49"/>
      <c r="Q11" s="53">
        <v>2</v>
      </c>
      <c r="R11" s="84">
        <f t="shared" si="0"/>
        <v>1.5</v>
      </c>
    </row>
    <row r="12" spans="1:19" ht="20.100000000000001" customHeight="1" x14ac:dyDescent="0.15">
      <c r="A12" s="223"/>
      <c r="B12" s="63"/>
      <c r="C12" s="48"/>
      <c r="D12" s="49"/>
      <c r="E12" s="50"/>
      <c r="F12" s="51"/>
      <c r="G12" s="67"/>
      <c r="H12" s="71"/>
      <c r="I12" s="49"/>
      <c r="J12" s="51"/>
      <c r="K12" s="51"/>
      <c r="L12" s="51"/>
      <c r="M12" s="75"/>
      <c r="N12" s="63" t="s">
        <v>39</v>
      </c>
      <c r="O12" s="52" t="s">
        <v>48</v>
      </c>
      <c r="P12" s="49" t="s">
        <v>29</v>
      </c>
      <c r="Q12" s="53">
        <v>2</v>
      </c>
      <c r="R12" s="84">
        <f t="shared" si="0"/>
        <v>1.5</v>
      </c>
    </row>
    <row r="13" spans="1:19" ht="20.100000000000001" customHeight="1" x14ac:dyDescent="0.15">
      <c r="A13" s="223"/>
      <c r="B13" s="63"/>
      <c r="C13" s="48"/>
      <c r="D13" s="49"/>
      <c r="E13" s="50"/>
      <c r="F13" s="51"/>
      <c r="G13" s="67"/>
      <c r="H13" s="71"/>
      <c r="I13" s="49"/>
      <c r="J13" s="51"/>
      <c r="K13" s="51"/>
      <c r="L13" s="51"/>
      <c r="M13" s="75"/>
      <c r="N13" s="63"/>
      <c r="O13" s="52" t="s">
        <v>85</v>
      </c>
      <c r="P13" s="49"/>
      <c r="Q13" s="53">
        <v>1</v>
      </c>
      <c r="R13" s="84">
        <f t="shared" si="0"/>
        <v>0.75</v>
      </c>
    </row>
    <row r="14" spans="1:19" ht="20.100000000000001" customHeight="1" x14ac:dyDescent="0.15">
      <c r="A14" s="223"/>
      <c r="B14" s="62"/>
      <c r="C14" s="42"/>
      <c r="D14" s="43"/>
      <c r="E14" s="44"/>
      <c r="F14" s="45"/>
      <c r="G14" s="66"/>
      <c r="H14" s="70"/>
      <c r="I14" s="43"/>
      <c r="J14" s="45"/>
      <c r="K14" s="45"/>
      <c r="L14" s="45"/>
      <c r="M14" s="74"/>
      <c r="N14" s="62"/>
      <c r="O14" s="46"/>
      <c r="P14" s="43"/>
      <c r="Q14" s="47"/>
      <c r="R14" s="85"/>
    </row>
    <row r="15" spans="1:19" ht="20.100000000000001" customHeight="1" x14ac:dyDescent="0.15">
      <c r="A15" s="223"/>
      <c r="B15" s="63" t="s">
        <v>225</v>
      </c>
      <c r="C15" s="48" t="s">
        <v>75</v>
      </c>
      <c r="D15" s="49"/>
      <c r="E15" s="50">
        <v>30</v>
      </c>
      <c r="F15" s="51" t="s">
        <v>33</v>
      </c>
      <c r="G15" s="67"/>
      <c r="H15" s="71" t="s">
        <v>75</v>
      </c>
      <c r="I15" s="49"/>
      <c r="J15" s="51">
        <f>ROUNDUP(E15*0.75,2)</f>
        <v>22.5</v>
      </c>
      <c r="K15" s="51" t="s">
        <v>33</v>
      </c>
      <c r="L15" s="51"/>
      <c r="M15" s="75" t="e">
        <f>ROUND(#REF!+(#REF!*15/100),2)</f>
        <v>#REF!</v>
      </c>
      <c r="N15" s="63" t="s">
        <v>78</v>
      </c>
      <c r="O15" s="52" t="s">
        <v>30</v>
      </c>
      <c r="P15" s="49"/>
      <c r="Q15" s="53">
        <v>1.5</v>
      </c>
      <c r="R15" s="84">
        <f>ROUNDUP(Q15*0.75,2)</f>
        <v>1.1300000000000001</v>
      </c>
    </row>
    <row r="16" spans="1:19" ht="20.100000000000001" customHeight="1" x14ac:dyDescent="0.15">
      <c r="A16" s="223"/>
      <c r="B16" s="63"/>
      <c r="C16" s="48" t="s">
        <v>41</v>
      </c>
      <c r="D16" s="49"/>
      <c r="E16" s="50">
        <v>10</v>
      </c>
      <c r="F16" s="51" t="s">
        <v>33</v>
      </c>
      <c r="G16" s="67"/>
      <c r="H16" s="71" t="s">
        <v>41</v>
      </c>
      <c r="I16" s="49"/>
      <c r="J16" s="51">
        <f>ROUNDUP(E16*0.75,2)</f>
        <v>7.5</v>
      </c>
      <c r="K16" s="51" t="s">
        <v>33</v>
      </c>
      <c r="L16" s="51"/>
      <c r="M16" s="75" t="e">
        <f>ROUND(#REF!+(#REF!*3/100),2)</f>
        <v>#REF!</v>
      </c>
      <c r="N16" s="63" t="s">
        <v>226</v>
      </c>
      <c r="O16" s="52" t="s">
        <v>45</v>
      </c>
      <c r="P16" s="49"/>
      <c r="Q16" s="53">
        <v>30</v>
      </c>
      <c r="R16" s="84">
        <f>ROUNDUP(Q16*0.75,2)</f>
        <v>22.5</v>
      </c>
    </row>
    <row r="17" spans="1:18" ht="20.100000000000001" customHeight="1" x14ac:dyDescent="0.15">
      <c r="A17" s="223"/>
      <c r="B17" s="63"/>
      <c r="C17" s="48" t="s">
        <v>42</v>
      </c>
      <c r="D17" s="49"/>
      <c r="E17" s="50">
        <v>10</v>
      </c>
      <c r="F17" s="51" t="s">
        <v>33</v>
      </c>
      <c r="G17" s="67" t="s">
        <v>43</v>
      </c>
      <c r="H17" s="71" t="s">
        <v>42</v>
      </c>
      <c r="I17" s="49"/>
      <c r="J17" s="51">
        <f>ROUNDUP(E17*0.75,2)</f>
        <v>7.5</v>
      </c>
      <c r="K17" s="51" t="s">
        <v>33</v>
      </c>
      <c r="L17" s="51" t="s">
        <v>43</v>
      </c>
      <c r="M17" s="75" t="e">
        <f>#REF!</f>
        <v>#REF!</v>
      </c>
      <c r="N17" s="63" t="s">
        <v>21</v>
      </c>
      <c r="O17" s="52" t="s">
        <v>46</v>
      </c>
      <c r="P17" s="49"/>
      <c r="Q17" s="53">
        <v>1</v>
      </c>
      <c r="R17" s="84">
        <f>ROUNDUP(Q17*0.75,2)</f>
        <v>0.75</v>
      </c>
    </row>
    <row r="18" spans="1:18" ht="20.100000000000001" customHeight="1" x14ac:dyDescent="0.15">
      <c r="A18" s="223"/>
      <c r="B18" s="63"/>
      <c r="C18" s="48"/>
      <c r="D18" s="49"/>
      <c r="E18" s="50"/>
      <c r="F18" s="51"/>
      <c r="G18" s="67"/>
      <c r="H18" s="71"/>
      <c r="I18" s="49"/>
      <c r="J18" s="51"/>
      <c r="K18" s="51"/>
      <c r="L18" s="51"/>
      <c r="M18" s="75"/>
      <c r="N18" s="63"/>
      <c r="O18" s="52" t="s">
        <v>47</v>
      </c>
      <c r="P18" s="49"/>
      <c r="Q18" s="53">
        <v>2</v>
      </c>
      <c r="R18" s="84">
        <f>ROUNDUP(Q18*0.75,2)</f>
        <v>1.5</v>
      </c>
    </row>
    <row r="19" spans="1:18" ht="20.100000000000001" customHeight="1" x14ac:dyDescent="0.15">
      <c r="A19" s="223"/>
      <c r="B19" s="63"/>
      <c r="C19" s="48"/>
      <c r="D19" s="49"/>
      <c r="E19" s="50"/>
      <c r="F19" s="51"/>
      <c r="G19" s="67"/>
      <c r="H19" s="71"/>
      <c r="I19" s="49"/>
      <c r="J19" s="51"/>
      <c r="K19" s="51"/>
      <c r="L19" s="51"/>
      <c r="M19" s="75"/>
      <c r="N19" s="63"/>
      <c r="O19" s="52" t="s">
        <v>48</v>
      </c>
      <c r="P19" s="49" t="s">
        <v>29</v>
      </c>
      <c r="Q19" s="53">
        <v>1.5</v>
      </c>
      <c r="R19" s="84">
        <f>ROUNDUP(Q19*0.75,2)</f>
        <v>1.1300000000000001</v>
      </c>
    </row>
    <row r="20" spans="1:18" ht="20.100000000000001" customHeight="1" x14ac:dyDescent="0.15">
      <c r="A20" s="223"/>
      <c r="B20" s="62"/>
      <c r="C20" s="42"/>
      <c r="D20" s="43"/>
      <c r="E20" s="44"/>
      <c r="F20" s="45"/>
      <c r="G20" s="66"/>
      <c r="H20" s="70"/>
      <c r="I20" s="43"/>
      <c r="J20" s="45"/>
      <c r="K20" s="45"/>
      <c r="L20" s="45"/>
      <c r="M20" s="74"/>
      <c r="N20" s="62"/>
      <c r="O20" s="46"/>
      <c r="P20" s="43"/>
      <c r="Q20" s="47"/>
      <c r="R20" s="85"/>
    </row>
    <row r="21" spans="1:18" ht="20.100000000000001" customHeight="1" x14ac:dyDescent="0.15">
      <c r="A21" s="223"/>
      <c r="B21" s="63" t="s">
        <v>147</v>
      </c>
      <c r="C21" s="48" t="s">
        <v>97</v>
      </c>
      <c r="D21" s="49"/>
      <c r="E21" s="50">
        <v>20</v>
      </c>
      <c r="F21" s="51" t="s">
        <v>33</v>
      </c>
      <c r="G21" s="67"/>
      <c r="H21" s="71" t="s">
        <v>97</v>
      </c>
      <c r="I21" s="49"/>
      <c r="J21" s="51">
        <f>ROUNDUP(E21*0.75,2)</f>
        <v>15</v>
      </c>
      <c r="K21" s="51" t="s">
        <v>33</v>
      </c>
      <c r="L21" s="51"/>
      <c r="M21" s="75" t="e">
        <f>ROUND(#REF!+(#REF!*10/100),2)</f>
        <v>#REF!</v>
      </c>
      <c r="N21" s="63" t="s">
        <v>39</v>
      </c>
      <c r="O21" s="52" t="s">
        <v>45</v>
      </c>
      <c r="P21" s="49"/>
      <c r="Q21" s="53">
        <v>100</v>
      </c>
      <c r="R21" s="84">
        <f>ROUNDUP(Q21*0.75,2)</f>
        <v>75</v>
      </c>
    </row>
    <row r="22" spans="1:18" ht="20.100000000000001" customHeight="1" x14ac:dyDescent="0.15">
      <c r="A22" s="223"/>
      <c r="B22" s="63"/>
      <c r="C22" s="48" t="s">
        <v>68</v>
      </c>
      <c r="D22" s="49" t="s">
        <v>69</v>
      </c>
      <c r="E22" s="54">
        <v>0.125</v>
      </c>
      <c r="F22" s="51" t="s">
        <v>57</v>
      </c>
      <c r="G22" s="67"/>
      <c r="H22" s="71" t="s">
        <v>68</v>
      </c>
      <c r="I22" s="49" t="s">
        <v>69</v>
      </c>
      <c r="J22" s="51">
        <f>ROUNDUP(E22*0.75,2)</f>
        <v>9.9999999999999992E-2</v>
      </c>
      <c r="K22" s="51" t="s">
        <v>57</v>
      </c>
      <c r="L22" s="51"/>
      <c r="M22" s="75" t="e">
        <f>#REF!</f>
        <v>#REF!</v>
      </c>
      <c r="N22" s="63"/>
      <c r="O22" s="52" t="s">
        <v>27</v>
      </c>
      <c r="P22" s="49"/>
      <c r="Q22" s="53">
        <v>0.1</v>
      </c>
      <c r="R22" s="84">
        <f>ROUNDUP(Q22*0.75,2)</f>
        <v>0.08</v>
      </c>
    </row>
    <row r="23" spans="1:18" ht="20.100000000000001" customHeight="1" x14ac:dyDescent="0.15">
      <c r="A23" s="223"/>
      <c r="B23" s="63"/>
      <c r="C23" s="48"/>
      <c r="D23" s="49"/>
      <c r="E23" s="50"/>
      <c r="F23" s="51"/>
      <c r="G23" s="67"/>
      <c r="H23" s="71"/>
      <c r="I23" s="49"/>
      <c r="J23" s="51"/>
      <c r="K23" s="51"/>
      <c r="L23" s="51"/>
      <c r="M23" s="75"/>
      <c r="N23" s="63"/>
      <c r="O23" s="52" t="s">
        <v>48</v>
      </c>
      <c r="P23" s="49" t="s">
        <v>29</v>
      </c>
      <c r="Q23" s="53">
        <v>0.5</v>
      </c>
      <c r="R23" s="84">
        <f>ROUNDUP(Q23*0.75,2)</f>
        <v>0.38</v>
      </c>
    </row>
    <row r="24" spans="1:18" ht="20.100000000000001" customHeight="1" x14ac:dyDescent="0.15">
      <c r="A24" s="223"/>
      <c r="B24" s="62"/>
      <c r="C24" s="42"/>
      <c r="D24" s="43"/>
      <c r="E24" s="44"/>
      <c r="F24" s="45"/>
      <c r="G24" s="66"/>
      <c r="H24" s="70"/>
      <c r="I24" s="43"/>
      <c r="J24" s="45"/>
      <c r="K24" s="45"/>
      <c r="L24" s="45"/>
      <c r="M24" s="74"/>
      <c r="N24" s="62"/>
      <c r="O24" s="46"/>
      <c r="P24" s="43"/>
      <c r="Q24" s="47"/>
      <c r="R24" s="85"/>
    </row>
    <row r="25" spans="1:18" ht="20.100000000000001" customHeight="1" x14ac:dyDescent="0.15">
      <c r="A25" s="223"/>
      <c r="B25" s="63" t="s">
        <v>174</v>
      </c>
      <c r="C25" s="48" t="s">
        <v>140</v>
      </c>
      <c r="D25" s="49" t="s">
        <v>60</v>
      </c>
      <c r="E25" s="50">
        <v>40</v>
      </c>
      <c r="F25" s="51" t="s">
        <v>33</v>
      </c>
      <c r="G25" s="67"/>
      <c r="H25" s="71" t="s">
        <v>140</v>
      </c>
      <c r="I25" s="49" t="s">
        <v>60</v>
      </c>
      <c r="J25" s="51">
        <f>ROUNDUP(E25*0.75,2)</f>
        <v>30</v>
      </c>
      <c r="K25" s="51" t="s">
        <v>33</v>
      </c>
      <c r="L25" s="51"/>
      <c r="M25" s="75" t="e">
        <f>#REF!</f>
        <v>#REF!</v>
      </c>
      <c r="N25" s="63" t="s">
        <v>175</v>
      </c>
      <c r="O25" s="52" t="s">
        <v>46</v>
      </c>
      <c r="P25" s="49"/>
      <c r="Q25" s="53">
        <v>1</v>
      </c>
      <c r="R25" s="84">
        <f>ROUNDUP(Q25*0.75,2)</f>
        <v>0.75</v>
      </c>
    </row>
    <row r="26" spans="1:18" ht="20.100000000000001" customHeight="1" x14ac:dyDescent="0.15">
      <c r="A26" s="223"/>
      <c r="B26" s="63"/>
      <c r="C26" s="48"/>
      <c r="D26" s="49"/>
      <c r="E26" s="50"/>
      <c r="F26" s="51"/>
      <c r="G26" s="67"/>
      <c r="H26" s="71"/>
      <c r="I26" s="49"/>
      <c r="J26" s="51"/>
      <c r="K26" s="51"/>
      <c r="L26" s="51"/>
      <c r="M26" s="75"/>
      <c r="N26" s="63" t="s">
        <v>176</v>
      </c>
      <c r="O26" s="52" t="s">
        <v>82</v>
      </c>
      <c r="P26" s="49"/>
      <c r="Q26" s="53">
        <v>3</v>
      </c>
      <c r="R26" s="84">
        <f>ROUNDUP(Q26*0.75,2)</f>
        <v>2.25</v>
      </c>
    </row>
    <row r="27" spans="1:18" ht="20.100000000000001" customHeight="1" x14ac:dyDescent="0.15">
      <c r="A27" s="223"/>
      <c r="B27" s="63"/>
      <c r="C27" s="48"/>
      <c r="D27" s="49"/>
      <c r="E27" s="50"/>
      <c r="F27" s="51"/>
      <c r="G27" s="67"/>
      <c r="H27" s="71"/>
      <c r="I27" s="49"/>
      <c r="J27" s="51"/>
      <c r="K27" s="51"/>
      <c r="L27" s="51"/>
      <c r="M27" s="75"/>
      <c r="N27" s="63" t="s">
        <v>177</v>
      </c>
      <c r="O27" s="52"/>
      <c r="P27" s="49"/>
      <c r="Q27" s="53"/>
      <c r="R27" s="84"/>
    </row>
    <row r="28" spans="1:18" ht="20.100000000000001" customHeight="1" x14ac:dyDescent="0.15">
      <c r="A28" s="223"/>
      <c r="B28" s="63"/>
      <c r="C28" s="48"/>
      <c r="D28" s="49"/>
      <c r="E28" s="50"/>
      <c r="F28" s="51"/>
      <c r="G28" s="67"/>
      <c r="H28" s="71"/>
      <c r="I28" s="49"/>
      <c r="J28" s="51"/>
      <c r="K28" s="51"/>
      <c r="L28" s="51"/>
      <c r="M28" s="75"/>
      <c r="N28" s="63" t="s">
        <v>39</v>
      </c>
      <c r="O28" s="52"/>
      <c r="P28" s="49"/>
      <c r="Q28" s="53"/>
      <c r="R28" s="84"/>
    </row>
    <row r="29" spans="1:18" ht="20.100000000000001" customHeight="1" thickBot="1" x14ac:dyDescent="0.2">
      <c r="A29" s="224"/>
      <c r="B29" s="64"/>
      <c r="C29" s="55"/>
      <c r="D29" s="56"/>
      <c r="E29" s="57"/>
      <c r="F29" s="58"/>
      <c r="G29" s="68"/>
      <c r="H29" s="72"/>
      <c r="I29" s="56"/>
      <c r="J29" s="58"/>
      <c r="K29" s="58"/>
      <c r="L29" s="58"/>
      <c r="M29" s="76"/>
      <c r="N29" s="64"/>
      <c r="O29" s="59"/>
      <c r="P29" s="56"/>
      <c r="Q29" s="60"/>
      <c r="R29" s="86"/>
    </row>
  </sheetData>
  <mergeCells count="4">
    <mergeCell ref="H1:N1"/>
    <mergeCell ref="A2:R2"/>
    <mergeCell ref="A3:F3"/>
    <mergeCell ref="A5:A29"/>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キッズ月間(昼・おやつ) </vt:lpstr>
      <vt:lpstr>10月1日（火）</vt:lpstr>
      <vt:lpstr>10月2日（水）</vt:lpstr>
      <vt:lpstr>10月3日（木）</vt:lpstr>
      <vt:lpstr>10月4日（金）</vt:lpstr>
      <vt:lpstr>10月7日（月）</vt:lpstr>
      <vt:lpstr>10月8日（火）</vt:lpstr>
      <vt:lpstr>10月9日（水）</vt:lpstr>
      <vt:lpstr>10月10日（木）</vt:lpstr>
      <vt:lpstr>10月11日（金）</vt:lpstr>
      <vt:lpstr>10月15日（火）</vt:lpstr>
      <vt:lpstr>10月16日（水）</vt:lpstr>
      <vt:lpstr>10月17日（木）</vt:lpstr>
      <vt:lpstr>10月18日（金）</vt:lpstr>
      <vt:lpstr>10月21日（月）</vt:lpstr>
      <vt:lpstr>10月23日（水）</vt:lpstr>
      <vt:lpstr>10月24日（木）</vt:lpstr>
      <vt:lpstr>10月25日（金）</vt:lpstr>
      <vt:lpstr>10月28日（月）</vt:lpstr>
      <vt:lpstr>10月29日（火）</vt:lpstr>
      <vt:lpstr>10月30日（水）</vt:lpstr>
      <vt:lpstr>10月31日（木）</vt:lpstr>
      <vt:lpstr>'キッズ月間(昼・おやつ) '!Print_Area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2019-09-10T08:44:34Z</cp:lastPrinted>
  <dcterms:created xsi:type="dcterms:W3CDTF">2019-03-20T06:11:51Z</dcterms:created>
  <dcterms:modified xsi:type="dcterms:W3CDTF">2019-09-10T08:48:41Z</dcterms:modified>
</cp:coreProperties>
</file>