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7470" windowHeight="2775" tabRatio="934" activeTab="1"/>
  </bookViews>
  <sheets>
    <sheet name="キッズ月間(昼・おやつ)  " sheetId="61" r:id="rId1"/>
    <sheet name="キッズ離乳食月間" sheetId="62" r:id="rId2"/>
    <sheet name="9月2日キッズ" sheetId="3" r:id="rId3"/>
    <sheet name="9月2日離乳食" sheetId="42" r:id="rId4"/>
    <sheet name="9月3日キッズ" sheetId="4" r:id="rId5"/>
    <sheet name="9月3日離乳食" sheetId="43" r:id="rId6"/>
    <sheet name="9月4日キッズ" sheetId="5" r:id="rId7"/>
    <sheet name="9月4日離乳食 " sheetId="44" r:id="rId8"/>
    <sheet name="9月5日キッズ" sheetId="6" r:id="rId9"/>
    <sheet name="9月5日離乳食" sheetId="45" r:id="rId10"/>
    <sheet name="9月6日キッズ" sheetId="7" r:id="rId11"/>
    <sheet name="9月6日離乳食" sheetId="46" r:id="rId12"/>
    <sheet name="9月9日キッズ" sheetId="10" r:id="rId13"/>
    <sheet name="9月9日離乳食" sheetId="47" r:id="rId14"/>
    <sheet name="9月10日キッズ" sheetId="11" r:id="rId15"/>
    <sheet name="9月10日離乳食" sheetId="48" r:id="rId16"/>
    <sheet name="9月11日キッズ" sheetId="12" r:id="rId17"/>
    <sheet name="9月11日離乳食" sheetId="49" r:id="rId18"/>
    <sheet name="9月12日キッズ" sheetId="13" r:id="rId19"/>
    <sheet name="9月12日離乳食" sheetId="50" r:id="rId20"/>
    <sheet name="9月13日キッズ " sheetId="32" r:id="rId21"/>
    <sheet name="9月13日離乳食" sheetId="51" r:id="rId22"/>
    <sheet name="9月17日キッズ" sheetId="18" r:id="rId23"/>
    <sheet name="9月17日離乳食" sheetId="52" r:id="rId24"/>
    <sheet name="9月18日キッズ" sheetId="19" r:id="rId25"/>
    <sheet name="9月18日離乳食" sheetId="53" r:id="rId26"/>
    <sheet name="9月19日キッズ" sheetId="20" r:id="rId27"/>
    <sheet name="9月19日離乳食" sheetId="54" r:id="rId28"/>
    <sheet name="9月20日キッズ" sheetId="21" r:id="rId29"/>
    <sheet name="9月20日離乳食" sheetId="55" r:id="rId30"/>
    <sheet name="9月24日キッズ" sheetId="25" r:id="rId31"/>
    <sheet name="9月24日離乳食 " sheetId="56" r:id="rId32"/>
    <sheet name="9月25日キッズ" sheetId="26" r:id="rId33"/>
    <sheet name="9月25日離乳食" sheetId="57" r:id="rId34"/>
    <sheet name="9月26日キッズ" sheetId="27" r:id="rId35"/>
    <sheet name="9月26日離乳食" sheetId="58" r:id="rId36"/>
    <sheet name="9月27日キッズ" sheetId="33" r:id="rId37"/>
    <sheet name="9月27日離乳食" sheetId="59" r:id="rId38"/>
    <sheet name="9月30日キッズ" sheetId="31" r:id="rId39"/>
    <sheet name="9月30日離乳食" sheetId="60" r:id="rId40"/>
  </sheets>
  <definedNames>
    <definedName name="_xlnm.Print_Area" localSheetId="0">'キッズ月間(昼・おやつ)  '!$A$1:$U$68</definedName>
    <definedName name="_xlnm.Print_Area" localSheetId="1">キッズ離乳食月間!$A$1:$P$51</definedName>
    <definedName name="_xlnm.Print_Area">#REF!</definedName>
  </definedNames>
  <calcPr calcId="152511"/>
</workbook>
</file>

<file path=xl/calcChain.xml><?xml version="1.0" encoding="utf-8"?>
<calcChain xmlns="http://schemas.openxmlformats.org/spreadsheetml/2006/main">
  <c r="I62" i="61" l="1"/>
  <c r="G62" i="61"/>
  <c r="F62" i="61"/>
  <c r="E62" i="61"/>
  <c r="D62" i="61"/>
  <c r="I61" i="61"/>
  <c r="G61" i="61"/>
  <c r="F61" i="61"/>
  <c r="E61" i="61"/>
  <c r="D61" i="61"/>
  <c r="G58" i="61"/>
  <c r="G57" i="61"/>
  <c r="G56" i="61"/>
  <c r="R55" i="61"/>
  <c r="G55" i="61"/>
  <c r="R54" i="61"/>
  <c r="G54" i="61"/>
  <c r="R53" i="61"/>
  <c r="G53" i="61"/>
  <c r="R52" i="61"/>
  <c r="G52" i="61"/>
  <c r="R51" i="61"/>
  <c r="G51" i="61"/>
  <c r="G50" i="61"/>
  <c r="G49" i="61"/>
  <c r="R48" i="61"/>
  <c r="G48" i="61"/>
  <c r="R47" i="61"/>
  <c r="G47" i="61"/>
  <c r="R46" i="61"/>
  <c r="G46" i="61"/>
  <c r="R45" i="61"/>
  <c r="G45" i="61"/>
  <c r="R44" i="61"/>
  <c r="G44" i="61"/>
  <c r="R43" i="61"/>
  <c r="G43" i="61"/>
  <c r="R42" i="61"/>
  <c r="G42" i="61"/>
  <c r="R41" i="61"/>
  <c r="G41" i="61"/>
  <c r="R40" i="61"/>
  <c r="G40" i="61"/>
  <c r="R39" i="61"/>
  <c r="G39" i="61"/>
  <c r="R38" i="61"/>
  <c r="G38" i="61"/>
  <c r="R37" i="61"/>
  <c r="G37" i="61"/>
  <c r="R36" i="61"/>
  <c r="G36" i="61"/>
  <c r="R35" i="61"/>
  <c r="G35" i="61"/>
  <c r="R34" i="61"/>
  <c r="G34" i="61"/>
  <c r="R33" i="61"/>
  <c r="R32" i="61"/>
  <c r="R31" i="61"/>
  <c r="G31" i="61"/>
  <c r="R30" i="61"/>
  <c r="G30" i="61"/>
  <c r="R29" i="61"/>
  <c r="G29" i="61"/>
  <c r="G28" i="61"/>
  <c r="G27" i="61"/>
  <c r="R26" i="61"/>
  <c r="G26" i="61"/>
  <c r="R25" i="61"/>
  <c r="G25" i="61"/>
  <c r="R24" i="61"/>
  <c r="G24" i="61"/>
  <c r="R23" i="61"/>
  <c r="G23" i="61"/>
  <c r="R22" i="61"/>
  <c r="G22" i="61"/>
  <c r="R21" i="61"/>
  <c r="G21" i="61"/>
  <c r="R20" i="61"/>
  <c r="G20" i="61"/>
  <c r="R19" i="61"/>
  <c r="G19" i="61"/>
  <c r="R18" i="61"/>
  <c r="G18" i="61"/>
  <c r="R17" i="61"/>
  <c r="G17" i="61"/>
  <c r="R16" i="61"/>
  <c r="G16" i="61"/>
  <c r="R15" i="61"/>
  <c r="G15" i="61"/>
  <c r="R14" i="61"/>
  <c r="G14" i="61"/>
  <c r="R13" i="61"/>
  <c r="G13" i="61"/>
  <c r="R12" i="61"/>
  <c r="G12" i="61"/>
  <c r="R11" i="61"/>
  <c r="G11" i="61"/>
  <c r="R10" i="61"/>
  <c r="G10" i="61"/>
  <c r="R9" i="61"/>
  <c r="G9" i="61"/>
  <c r="R8" i="61"/>
  <c r="G8" i="61"/>
  <c r="R7" i="61"/>
  <c r="G7" i="61"/>
  <c r="J18" i="33" l="1"/>
  <c r="N18" i="33"/>
  <c r="S16" i="33"/>
  <c r="T16" i="33"/>
  <c r="S15" i="33"/>
  <c r="T15" i="33" s="1"/>
  <c r="J15" i="33"/>
  <c r="N15" i="33" s="1"/>
  <c r="S14" i="33"/>
  <c r="T14" i="33"/>
  <c r="J14" i="33"/>
  <c r="N14" i="33"/>
  <c r="S13" i="33"/>
  <c r="T13" i="33"/>
  <c r="J13" i="33"/>
  <c r="N13" i="33" s="1"/>
  <c r="J11" i="33"/>
  <c r="N11" i="33"/>
  <c r="S10" i="33"/>
  <c r="T10" i="33" s="1"/>
  <c r="J10" i="33"/>
  <c r="N10" i="33" s="1"/>
  <c r="S9" i="33"/>
  <c r="T9" i="33" s="1"/>
  <c r="J9" i="33"/>
  <c r="N9" i="33"/>
  <c r="S8" i="33"/>
  <c r="T8" i="33" s="1"/>
  <c r="J8" i="33"/>
  <c r="N8" i="33" s="1"/>
  <c r="S7" i="33"/>
  <c r="T7" i="33" s="1"/>
  <c r="J7" i="33"/>
  <c r="N7" i="33"/>
  <c r="S6" i="33"/>
  <c r="T6" i="33" s="1"/>
  <c r="J6" i="33"/>
  <c r="N6" i="33" s="1"/>
  <c r="S5" i="33"/>
  <c r="T5" i="33" s="1"/>
  <c r="J5" i="33"/>
  <c r="N5" i="33"/>
  <c r="J21" i="32"/>
  <c r="N21" i="32" s="1"/>
  <c r="S19" i="32"/>
  <c r="T19" i="32" s="1"/>
  <c r="S18" i="32"/>
  <c r="T18" i="32" s="1"/>
  <c r="J18" i="32"/>
  <c r="N18" i="32" s="1"/>
  <c r="S17" i="32"/>
  <c r="T17" i="32" s="1"/>
  <c r="J17" i="32"/>
  <c r="N17" i="32" s="1"/>
  <c r="S16" i="32"/>
  <c r="T16" i="32" s="1"/>
  <c r="J16" i="32"/>
  <c r="N16" i="32"/>
  <c r="J14" i="32"/>
  <c r="N14" i="32" s="1"/>
  <c r="S13" i="32"/>
  <c r="T13" i="32" s="1"/>
  <c r="J13" i="32"/>
  <c r="N13" i="32"/>
  <c r="S12" i="32"/>
  <c r="T12" i="32" s="1"/>
  <c r="J12" i="32"/>
  <c r="N12" i="32" s="1"/>
  <c r="S11" i="32"/>
  <c r="T11" i="32" s="1"/>
  <c r="J11" i="32"/>
  <c r="N11" i="32" s="1"/>
  <c r="S10" i="32"/>
  <c r="T10" i="32" s="1"/>
  <c r="J10" i="32"/>
  <c r="N10" i="32" s="1"/>
  <c r="S9" i="32"/>
  <c r="T9" i="32" s="1"/>
  <c r="J9" i="32"/>
  <c r="N9" i="32" s="1"/>
  <c r="S8" i="32"/>
  <c r="T8" i="32" s="1"/>
  <c r="J8" i="32"/>
  <c r="N8" i="32" s="1"/>
  <c r="S7" i="32"/>
  <c r="T7" i="32" s="1"/>
  <c r="J7" i="32"/>
  <c r="N7" i="32" s="1"/>
  <c r="J23" i="31"/>
  <c r="N23" i="31" s="1"/>
  <c r="S21" i="31"/>
  <c r="T21" i="31" s="1"/>
  <c r="S20" i="31"/>
  <c r="T20" i="31" s="1"/>
  <c r="T19" i="31"/>
  <c r="S19" i="31"/>
  <c r="J20" i="31"/>
  <c r="N20" i="31" s="1"/>
  <c r="J19" i="31"/>
  <c r="N19" i="31" s="1"/>
  <c r="T17" i="31"/>
  <c r="S17" i="31"/>
  <c r="S16" i="31"/>
  <c r="T16" i="31" s="1"/>
  <c r="S15" i="31"/>
  <c r="T15" i="31" s="1"/>
  <c r="S14" i="31"/>
  <c r="T14" i="31" s="1"/>
  <c r="N16" i="31"/>
  <c r="J16" i="31"/>
  <c r="N15" i="31"/>
  <c r="J15" i="31"/>
  <c r="J14" i="31"/>
  <c r="N14" i="31" s="1"/>
  <c r="J8" i="31"/>
  <c r="N8" i="31" s="1"/>
  <c r="S12" i="31"/>
  <c r="T12" i="31" s="1"/>
  <c r="S11" i="31"/>
  <c r="T11" i="31" s="1"/>
  <c r="S10" i="31"/>
  <c r="T10" i="31" s="1"/>
  <c r="S9" i="31"/>
  <c r="T9" i="31" s="1"/>
  <c r="N7" i="31"/>
  <c r="J7" i="31"/>
  <c r="S8" i="31"/>
  <c r="T8" i="31" s="1"/>
  <c r="S7" i="31"/>
  <c r="T7" i="31" s="1"/>
  <c r="S6" i="31"/>
  <c r="T6" i="31" s="1"/>
  <c r="J6" i="31"/>
  <c r="N6" i="31" s="1"/>
  <c r="N5" i="31"/>
  <c r="J5" i="31"/>
  <c r="S5" i="31"/>
  <c r="T5" i="31" s="1"/>
  <c r="S22" i="27"/>
  <c r="T22" i="27" s="1"/>
  <c r="S21" i="27"/>
  <c r="T21" i="27" s="1"/>
  <c r="N21" i="27"/>
  <c r="J21" i="27"/>
  <c r="S19" i="27"/>
  <c r="T19" i="27" s="1"/>
  <c r="S18" i="27"/>
  <c r="T18" i="27" s="1"/>
  <c r="N19" i="27"/>
  <c r="J19" i="27"/>
  <c r="N18" i="27"/>
  <c r="J18" i="27"/>
  <c r="S16" i="27"/>
  <c r="T16" i="27" s="1"/>
  <c r="S15" i="27"/>
  <c r="T15" i="27" s="1"/>
  <c r="J15" i="27"/>
  <c r="N15" i="27" s="1"/>
  <c r="T14" i="27"/>
  <c r="S14" i="27"/>
  <c r="S13" i="27"/>
  <c r="T13" i="27" s="1"/>
  <c r="N14" i="27"/>
  <c r="J14" i="27"/>
  <c r="J13" i="27"/>
  <c r="N13" i="27" s="1"/>
  <c r="N10" i="27"/>
  <c r="J10" i="27"/>
  <c r="J9" i="27"/>
  <c r="N9" i="27" s="1"/>
  <c r="S11" i="27"/>
  <c r="T11" i="27" s="1"/>
  <c r="S10" i="27"/>
  <c r="T10" i="27" s="1"/>
  <c r="T9" i="27"/>
  <c r="S9" i="27"/>
  <c r="S8" i="27"/>
  <c r="T8" i="27" s="1"/>
  <c r="N8" i="27"/>
  <c r="J8" i="27"/>
  <c r="S7" i="27"/>
  <c r="T7" i="27" s="1"/>
  <c r="J7" i="27"/>
  <c r="N7" i="27" s="1"/>
  <c r="T5" i="27"/>
  <c r="S5" i="27"/>
  <c r="J27" i="26"/>
  <c r="N27" i="26" s="1"/>
  <c r="S25" i="26"/>
  <c r="T25" i="26" s="1"/>
  <c r="S24" i="26"/>
  <c r="T24" i="26" s="1"/>
  <c r="S23" i="26"/>
  <c r="T23" i="26" s="1"/>
  <c r="N24" i="26"/>
  <c r="J24" i="26"/>
  <c r="N23" i="26"/>
  <c r="J23" i="26"/>
  <c r="S21" i="26"/>
  <c r="T21" i="26" s="1"/>
  <c r="S20" i="26"/>
  <c r="T20" i="26" s="1"/>
  <c r="S19" i="26"/>
  <c r="T19" i="26" s="1"/>
  <c r="S18" i="26"/>
  <c r="T18" i="26" s="1"/>
  <c r="S17" i="26"/>
  <c r="T17" i="26" s="1"/>
  <c r="N19" i="26"/>
  <c r="J19" i="26"/>
  <c r="N18" i="26"/>
  <c r="J18" i="26"/>
  <c r="J17" i="26"/>
  <c r="N17" i="26" s="1"/>
  <c r="T15" i="26"/>
  <c r="S15" i="26"/>
  <c r="S14" i="26"/>
  <c r="T14" i="26" s="1"/>
  <c r="T13" i="26"/>
  <c r="S13" i="26"/>
  <c r="N9" i="26"/>
  <c r="J9" i="26"/>
  <c r="J8" i="26"/>
  <c r="N8" i="26" s="1"/>
  <c r="T12" i="26"/>
  <c r="S12" i="26"/>
  <c r="S11" i="26"/>
  <c r="T11" i="26" s="1"/>
  <c r="N7" i="26"/>
  <c r="J7" i="26"/>
  <c r="N6" i="26"/>
  <c r="J6" i="26"/>
  <c r="S10" i="26"/>
  <c r="T10" i="26" s="1"/>
  <c r="T9" i="26"/>
  <c r="S9" i="26"/>
  <c r="S8" i="26"/>
  <c r="T8" i="26" s="1"/>
  <c r="T7" i="26"/>
  <c r="S7" i="26"/>
  <c r="S6" i="26"/>
  <c r="T6" i="26" s="1"/>
  <c r="N5" i="26"/>
  <c r="J5" i="26"/>
  <c r="T5" i="26"/>
  <c r="S5" i="26"/>
  <c r="N24" i="25"/>
  <c r="J24" i="25"/>
  <c r="T22" i="25"/>
  <c r="S22" i="25"/>
  <c r="S21" i="25"/>
  <c r="T21" i="25" s="1"/>
  <c r="N22" i="25"/>
  <c r="J22" i="25"/>
  <c r="J21" i="25"/>
  <c r="N21" i="25" s="1"/>
  <c r="S19" i="25"/>
  <c r="T19" i="25" s="1"/>
  <c r="S18" i="25"/>
  <c r="T18" i="25" s="1"/>
  <c r="S17" i="25"/>
  <c r="T17" i="25" s="1"/>
  <c r="S16" i="25"/>
  <c r="T16" i="25" s="1"/>
  <c r="J16" i="25"/>
  <c r="N16" i="25" s="1"/>
  <c r="S14" i="25"/>
  <c r="T14" i="25" s="1"/>
  <c r="S13" i="25"/>
  <c r="T13" i="25" s="1"/>
  <c r="N11" i="25"/>
  <c r="J11" i="25"/>
  <c r="N10" i="25"/>
  <c r="J10" i="25"/>
  <c r="S12" i="25"/>
  <c r="T12" i="25" s="1"/>
  <c r="S11" i="25"/>
  <c r="T11" i="25" s="1"/>
  <c r="S10" i="25"/>
  <c r="T10" i="25" s="1"/>
  <c r="N9" i="25"/>
  <c r="J9" i="25"/>
  <c r="N8" i="25"/>
  <c r="J8" i="25"/>
  <c r="S9" i="25"/>
  <c r="T9" i="25" s="1"/>
  <c r="S8" i="25"/>
  <c r="T8" i="25" s="1"/>
  <c r="S7" i="25"/>
  <c r="T7" i="25" s="1"/>
  <c r="N7" i="25"/>
  <c r="J7" i="25"/>
  <c r="S5" i="25"/>
  <c r="T5" i="25" s="1"/>
  <c r="S20" i="21"/>
  <c r="T20" i="21" s="1"/>
  <c r="T19" i="21"/>
  <c r="S19" i="21"/>
  <c r="J20" i="21"/>
  <c r="N20" i="21" s="1"/>
  <c r="N19" i="21"/>
  <c r="J19" i="21"/>
  <c r="S17" i="21"/>
  <c r="T17" i="21" s="1"/>
  <c r="S16" i="21"/>
  <c r="T16" i="21" s="1"/>
  <c r="T15" i="21"/>
  <c r="S15" i="21"/>
  <c r="S14" i="21"/>
  <c r="T14" i="21" s="1"/>
  <c r="J16" i="21"/>
  <c r="N16" i="21" s="1"/>
  <c r="N15" i="21"/>
  <c r="J15" i="21"/>
  <c r="N14" i="21"/>
  <c r="J14" i="21"/>
  <c r="S12" i="21"/>
  <c r="T12" i="21" s="1"/>
  <c r="S11" i="21"/>
  <c r="T11" i="21" s="1"/>
  <c r="S10" i="21"/>
  <c r="T10" i="21" s="1"/>
  <c r="S9" i="21"/>
  <c r="T9" i="21" s="1"/>
  <c r="S8" i="21"/>
  <c r="T8" i="21" s="1"/>
  <c r="N11" i="21"/>
  <c r="J11" i="21"/>
  <c r="J10" i="21"/>
  <c r="N10" i="21" s="1"/>
  <c r="N9" i="21"/>
  <c r="J9" i="21"/>
  <c r="J8" i="21"/>
  <c r="N8" i="21" s="1"/>
  <c r="T7" i="21"/>
  <c r="S7" i="21"/>
  <c r="J7" i="21"/>
  <c r="N7" i="21" s="1"/>
  <c r="T5" i="21"/>
  <c r="S5" i="21"/>
  <c r="N18" i="20"/>
  <c r="J18" i="20"/>
  <c r="S16" i="20"/>
  <c r="T16" i="20" s="1"/>
  <c r="S15" i="20"/>
  <c r="T15" i="20" s="1"/>
  <c r="S14" i="20"/>
  <c r="T14" i="20" s="1"/>
  <c r="T13" i="20"/>
  <c r="S13" i="20"/>
  <c r="N16" i="20"/>
  <c r="J16" i="20"/>
  <c r="J15" i="20"/>
  <c r="N15" i="20" s="1"/>
  <c r="J14" i="20"/>
  <c r="N14" i="20" s="1"/>
  <c r="N13" i="20"/>
  <c r="J13" i="20"/>
  <c r="N11" i="20"/>
  <c r="J11" i="20"/>
  <c r="S8" i="20"/>
  <c r="T8" i="20" s="1"/>
  <c r="S7" i="20"/>
  <c r="T7" i="20" s="1"/>
  <c r="S6" i="20"/>
  <c r="T6" i="20" s="1"/>
  <c r="S5" i="20"/>
  <c r="T5" i="20" s="1"/>
  <c r="J10" i="20"/>
  <c r="N10" i="20" s="1"/>
  <c r="J9" i="20"/>
  <c r="N9" i="20" s="1"/>
  <c r="N8" i="20"/>
  <c r="J8" i="20"/>
  <c r="N7" i="20"/>
  <c r="J7" i="20"/>
  <c r="J6" i="20"/>
  <c r="N6" i="20" s="1"/>
  <c r="J5" i="20"/>
  <c r="N5" i="20" s="1"/>
  <c r="J26" i="19"/>
  <c r="N26" i="19" s="1"/>
  <c r="S24" i="19"/>
  <c r="T24" i="19" s="1"/>
  <c r="S23" i="19"/>
  <c r="T23" i="19" s="1"/>
  <c r="S22" i="19"/>
  <c r="T22" i="19" s="1"/>
  <c r="N23" i="19"/>
  <c r="J23" i="19"/>
  <c r="J22" i="19"/>
  <c r="N22" i="19" s="1"/>
  <c r="S20" i="19"/>
  <c r="T20" i="19" s="1"/>
  <c r="S19" i="19"/>
  <c r="T19" i="19" s="1"/>
  <c r="S18" i="19"/>
  <c r="T18" i="19" s="1"/>
  <c r="S17" i="19"/>
  <c r="T17" i="19" s="1"/>
  <c r="J18" i="19"/>
  <c r="N18" i="19" s="1"/>
  <c r="J17" i="19"/>
  <c r="N17" i="19" s="1"/>
  <c r="S15" i="19"/>
  <c r="T15" i="19" s="1"/>
  <c r="S14" i="19"/>
  <c r="T14" i="19" s="1"/>
  <c r="S13" i="19"/>
  <c r="T13" i="19" s="1"/>
  <c r="S12" i="19"/>
  <c r="T12" i="19" s="1"/>
  <c r="S11" i="19"/>
  <c r="T11" i="19" s="1"/>
  <c r="S10" i="19"/>
  <c r="T10" i="19" s="1"/>
  <c r="N13" i="19"/>
  <c r="J13" i="19"/>
  <c r="N12" i="19"/>
  <c r="J12" i="19"/>
  <c r="J11" i="19"/>
  <c r="N11" i="19" s="1"/>
  <c r="J10" i="19"/>
  <c r="N10" i="19" s="1"/>
  <c r="S9" i="19"/>
  <c r="T9" i="19" s="1"/>
  <c r="J9" i="19"/>
  <c r="N9" i="19" s="1"/>
  <c r="J7" i="19"/>
  <c r="N7" i="19" s="1"/>
  <c r="S7" i="19"/>
  <c r="T7" i="19" s="1"/>
  <c r="S23" i="18"/>
  <c r="T23" i="18" s="1"/>
  <c r="S22" i="18"/>
  <c r="T22" i="18" s="1"/>
  <c r="S21" i="18"/>
  <c r="T21" i="18" s="1"/>
  <c r="J22" i="18"/>
  <c r="N22" i="18" s="1"/>
  <c r="N21" i="18"/>
  <c r="J21" i="18"/>
  <c r="S19" i="18"/>
  <c r="T19" i="18" s="1"/>
  <c r="S18" i="18"/>
  <c r="T18" i="18" s="1"/>
  <c r="S17" i="18"/>
  <c r="T17" i="18" s="1"/>
  <c r="S16" i="18"/>
  <c r="T16" i="18" s="1"/>
  <c r="N18" i="18"/>
  <c r="J18" i="18"/>
  <c r="J17" i="18"/>
  <c r="N17" i="18" s="1"/>
  <c r="J16" i="18"/>
  <c r="N16" i="18" s="1"/>
  <c r="T14" i="18"/>
  <c r="S14" i="18"/>
  <c r="S13" i="18"/>
  <c r="T13" i="18" s="1"/>
  <c r="S12" i="18"/>
  <c r="T12" i="18" s="1"/>
  <c r="S11" i="18"/>
  <c r="T11" i="18" s="1"/>
  <c r="S10" i="18"/>
  <c r="T10" i="18" s="1"/>
  <c r="S9" i="18"/>
  <c r="T9" i="18" s="1"/>
  <c r="S8" i="18"/>
  <c r="T8" i="18" s="1"/>
  <c r="J11" i="18"/>
  <c r="N11" i="18" s="1"/>
  <c r="J10" i="18"/>
  <c r="N10" i="18" s="1"/>
  <c r="N9" i="18"/>
  <c r="J9" i="18"/>
  <c r="S7" i="18"/>
  <c r="T7" i="18" s="1"/>
  <c r="J8" i="18"/>
  <c r="N8" i="18" s="1"/>
  <c r="N7" i="18"/>
  <c r="J7" i="18"/>
  <c r="S5" i="18"/>
  <c r="T5" i="18" s="1"/>
  <c r="J21" i="13"/>
  <c r="N21" i="13" s="1"/>
  <c r="S19" i="13"/>
  <c r="T19" i="13" s="1"/>
  <c r="T18" i="13"/>
  <c r="S18" i="13"/>
  <c r="J19" i="13"/>
  <c r="N19" i="13" s="1"/>
  <c r="N18" i="13"/>
  <c r="J18" i="13"/>
  <c r="S16" i="13"/>
  <c r="T16" i="13" s="1"/>
  <c r="S15" i="13"/>
  <c r="T15" i="13" s="1"/>
  <c r="N15" i="13"/>
  <c r="J15" i="13"/>
  <c r="S14" i="13"/>
  <c r="T14" i="13" s="1"/>
  <c r="S13" i="13"/>
  <c r="T13" i="13" s="1"/>
  <c r="N14" i="13"/>
  <c r="J14" i="13"/>
  <c r="J13" i="13"/>
  <c r="N13" i="13" s="1"/>
  <c r="N10" i="13"/>
  <c r="J10" i="13"/>
  <c r="N9" i="13"/>
  <c r="J9" i="13"/>
  <c r="S11" i="13"/>
  <c r="T11" i="13" s="1"/>
  <c r="S10" i="13"/>
  <c r="T10" i="13" s="1"/>
  <c r="S9" i="13"/>
  <c r="T9" i="13" s="1"/>
  <c r="T8" i="13"/>
  <c r="S8" i="13"/>
  <c r="N8" i="13"/>
  <c r="J8" i="13"/>
  <c r="S7" i="13"/>
  <c r="T7" i="13" s="1"/>
  <c r="N7" i="13"/>
  <c r="J7" i="13"/>
  <c r="S5" i="13"/>
  <c r="T5" i="13" s="1"/>
  <c r="N27" i="12"/>
  <c r="J27" i="12"/>
  <c r="S25" i="12"/>
  <c r="T25" i="12" s="1"/>
  <c r="S24" i="12"/>
  <c r="S23" i="12"/>
  <c r="J24" i="12"/>
  <c r="N24" i="12" s="1"/>
  <c r="N23" i="12"/>
  <c r="J23" i="12"/>
  <c r="S21" i="12"/>
  <c r="S20" i="12"/>
  <c r="S19" i="12"/>
  <c r="S18" i="12"/>
  <c r="S17" i="12"/>
  <c r="J19" i="12"/>
  <c r="N19" i="12" s="1"/>
  <c r="N18" i="12"/>
  <c r="J18" i="12"/>
  <c r="N17" i="12"/>
  <c r="J17" i="12"/>
  <c r="S15" i="12"/>
  <c r="S14" i="12"/>
  <c r="S13" i="12"/>
  <c r="N9" i="12"/>
  <c r="J9" i="12"/>
  <c r="N8" i="12"/>
  <c r="J8" i="12"/>
  <c r="S12" i="12"/>
  <c r="S11" i="12"/>
  <c r="N7" i="12"/>
  <c r="J7" i="12"/>
  <c r="J6" i="12"/>
  <c r="N6" i="12" s="1"/>
  <c r="S10" i="12"/>
  <c r="S9" i="12"/>
  <c r="S8" i="12"/>
  <c r="S7" i="12"/>
  <c r="S6" i="12"/>
  <c r="J5" i="12"/>
  <c r="N5" i="12" s="1"/>
  <c r="S5" i="12"/>
  <c r="S25" i="11"/>
  <c r="T25" i="11" s="1"/>
  <c r="S24" i="11"/>
  <c r="N24" i="11"/>
  <c r="J24" i="11"/>
  <c r="S22" i="11"/>
  <c r="S21" i="11"/>
  <c r="J22" i="11"/>
  <c r="N22" i="11" s="1"/>
  <c r="J21" i="11"/>
  <c r="N21" i="11" s="1"/>
  <c r="S17" i="11"/>
  <c r="S16" i="11"/>
  <c r="S15" i="11"/>
  <c r="N17" i="11"/>
  <c r="J17" i="11"/>
  <c r="J16" i="11"/>
  <c r="N16" i="11" s="1"/>
  <c r="N15" i="11"/>
  <c r="J15" i="11"/>
  <c r="N10" i="11"/>
  <c r="J10" i="11"/>
  <c r="S12" i="11"/>
  <c r="S11" i="11"/>
  <c r="S10" i="11"/>
  <c r="N9" i="11"/>
  <c r="J9" i="11"/>
  <c r="N8" i="11"/>
  <c r="J8" i="11"/>
  <c r="S9" i="11"/>
  <c r="S8" i="11"/>
  <c r="S7" i="11"/>
  <c r="N7" i="11"/>
  <c r="J7" i="11"/>
  <c r="S5" i="11"/>
  <c r="S21" i="10"/>
  <c r="S20" i="10"/>
  <c r="S19" i="10"/>
  <c r="J20" i="10"/>
  <c r="N20" i="10" s="1"/>
  <c r="N19" i="10"/>
  <c r="J19" i="10"/>
  <c r="S16" i="10"/>
  <c r="S15" i="10"/>
  <c r="S14" i="10"/>
  <c r="J16" i="10"/>
  <c r="N16" i="10" s="1"/>
  <c r="J15" i="10"/>
  <c r="N15" i="10" s="1"/>
  <c r="J14" i="10"/>
  <c r="N14" i="10" s="1"/>
  <c r="S12" i="10"/>
  <c r="S11" i="10"/>
  <c r="S10" i="10"/>
  <c r="S9" i="10"/>
  <c r="S8" i="10"/>
  <c r="S7" i="10"/>
  <c r="S6" i="10"/>
  <c r="J8" i="10"/>
  <c r="N8" i="10" s="1"/>
  <c r="J7" i="10"/>
  <c r="N7" i="10" s="1"/>
  <c r="N6" i="10"/>
  <c r="J6" i="10"/>
  <c r="S5" i="10"/>
  <c r="J5" i="10"/>
  <c r="N5" i="10" s="1"/>
  <c r="S20" i="7"/>
  <c r="S19" i="7"/>
  <c r="J20" i="7"/>
  <c r="N20" i="7" s="1"/>
  <c r="N19" i="7"/>
  <c r="J19" i="7"/>
  <c r="S17" i="7"/>
  <c r="S16" i="7"/>
  <c r="S15" i="7"/>
  <c r="S14" i="7"/>
  <c r="J16" i="7"/>
  <c r="N16" i="7" s="1"/>
  <c r="J15" i="7"/>
  <c r="N15" i="7" s="1"/>
  <c r="N14" i="7"/>
  <c r="J14" i="7"/>
  <c r="S12" i="7"/>
  <c r="S11" i="7"/>
  <c r="S10" i="7"/>
  <c r="S9" i="7"/>
  <c r="S8" i="7"/>
  <c r="J11" i="7"/>
  <c r="N11" i="7"/>
  <c r="N10" i="7"/>
  <c r="J10" i="7"/>
  <c r="N9" i="7"/>
  <c r="J9" i="7"/>
  <c r="J8" i="7"/>
  <c r="N8" i="7" s="1"/>
  <c r="S7" i="7"/>
  <c r="N7" i="7"/>
  <c r="J7" i="7"/>
  <c r="S5" i="7"/>
  <c r="J18" i="6"/>
  <c r="N18" i="6" s="1"/>
  <c r="S16" i="6"/>
  <c r="S15" i="6"/>
  <c r="S14" i="6"/>
  <c r="S13" i="6"/>
  <c r="J16" i="6"/>
  <c r="N16" i="6" s="1"/>
  <c r="N15" i="6"/>
  <c r="J15" i="6"/>
  <c r="J14" i="6"/>
  <c r="N14" i="6"/>
  <c r="J13" i="6"/>
  <c r="N13" i="6" s="1"/>
  <c r="J11" i="6"/>
  <c r="N11" i="6" s="1"/>
  <c r="S8" i="6"/>
  <c r="S7" i="6"/>
  <c r="S6" i="6"/>
  <c r="S5" i="6"/>
  <c r="N10" i="6"/>
  <c r="J10" i="6"/>
  <c r="N9" i="6"/>
  <c r="J9" i="6"/>
  <c r="J8" i="6"/>
  <c r="N8" i="6" s="1"/>
  <c r="N7" i="6"/>
  <c r="J7" i="6"/>
  <c r="J6" i="6"/>
  <c r="N6" i="6" s="1"/>
  <c r="N5" i="6"/>
  <c r="J5" i="6"/>
  <c r="N27" i="5"/>
  <c r="J27" i="5"/>
  <c r="S25" i="5"/>
  <c r="T25" i="5" s="1"/>
  <c r="S24" i="5"/>
  <c r="S23" i="5"/>
  <c r="J24" i="5"/>
  <c r="N24" i="5" s="1"/>
  <c r="N23" i="5"/>
  <c r="J23" i="5"/>
  <c r="S21" i="5"/>
  <c r="S20" i="5"/>
  <c r="S19" i="5"/>
  <c r="S18" i="5"/>
  <c r="N20" i="5"/>
  <c r="J20" i="5"/>
  <c r="J19" i="5"/>
  <c r="N19" i="5" s="1"/>
  <c r="J18" i="5"/>
  <c r="N18" i="5" s="1"/>
  <c r="S16" i="5"/>
  <c r="S15" i="5"/>
  <c r="S14" i="5"/>
  <c r="J10" i="5"/>
  <c r="N10" i="5" s="1"/>
  <c r="J9" i="5"/>
  <c r="N9" i="5" s="1"/>
  <c r="N8" i="5"/>
  <c r="J8" i="5"/>
  <c r="S13" i="5"/>
  <c r="S12" i="5"/>
  <c r="S11" i="5"/>
  <c r="S10" i="5"/>
  <c r="S9" i="5"/>
  <c r="S8" i="5"/>
  <c r="S7" i="5"/>
  <c r="J7" i="5"/>
  <c r="N7" i="5" s="1"/>
  <c r="N5" i="5"/>
  <c r="J5" i="5"/>
  <c r="S5" i="5"/>
  <c r="S22" i="4"/>
  <c r="S21" i="4"/>
  <c r="S20" i="4"/>
  <c r="J21" i="4"/>
  <c r="N21" i="4" s="1"/>
  <c r="J20" i="4"/>
  <c r="N20" i="4" s="1"/>
  <c r="S18" i="4"/>
  <c r="S17" i="4"/>
  <c r="S16" i="4"/>
  <c r="S15" i="4"/>
  <c r="N17" i="4"/>
  <c r="J17" i="4"/>
  <c r="N16" i="4"/>
  <c r="J16" i="4"/>
  <c r="J15" i="4"/>
  <c r="N15" i="4" s="1"/>
  <c r="S13" i="4"/>
  <c r="S12" i="4"/>
  <c r="S11" i="4"/>
  <c r="S10" i="4"/>
  <c r="S9" i="4"/>
  <c r="S8" i="4"/>
  <c r="S7" i="4"/>
  <c r="J11" i="4"/>
  <c r="N11" i="4" s="1"/>
  <c r="J10" i="4"/>
  <c r="N10" i="4" s="1"/>
  <c r="J9" i="4"/>
  <c r="N9" i="4" s="1"/>
  <c r="N8" i="4"/>
  <c r="J8" i="4"/>
  <c r="N7" i="4"/>
  <c r="J7" i="4"/>
  <c r="S5" i="4"/>
  <c r="J23" i="3"/>
  <c r="N23" i="3" s="1"/>
  <c r="S21" i="3"/>
  <c r="S20" i="3"/>
  <c r="S19" i="3"/>
  <c r="J20" i="3"/>
  <c r="N20" i="3" s="1"/>
  <c r="J19" i="3"/>
  <c r="N19" i="3" s="1"/>
  <c r="S17" i="3"/>
  <c r="S16" i="3"/>
  <c r="S15" i="3"/>
  <c r="S14" i="3"/>
  <c r="N16" i="3"/>
  <c r="J16" i="3"/>
  <c r="N15" i="3"/>
  <c r="J15" i="3"/>
  <c r="J14" i="3"/>
  <c r="N14" i="3" s="1"/>
  <c r="J8" i="3"/>
  <c r="N8" i="3" s="1"/>
  <c r="S12" i="3"/>
  <c r="S11" i="3"/>
  <c r="S10" i="3"/>
  <c r="S9" i="3"/>
  <c r="N7" i="3"/>
  <c r="J7" i="3"/>
  <c r="S8" i="3"/>
  <c r="S7" i="3"/>
  <c r="S6" i="3"/>
  <c r="J6" i="3"/>
  <c r="N6" i="3" s="1"/>
  <c r="N5" i="3"/>
  <c r="J5" i="3"/>
  <c r="S5" i="3"/>
</calcChain>
</file>

<file path=xl/sharedStrings.xml><?xml version="1.0" encoding="utf-8"?>
<sst xmlns="http://schemas.openxmlformats.org/spreadsheetml/2006/main" count="4225" uniqueCount="575">
  <si>
    <t>予　　定　　献　　立　　表　</t>
    <rPh sb="0" eb="1">
      <t>ヨ</t>
    </rPh>
    <rPh sb="3" eb="4">
      <t>サダム</t>
    </rPh>
    <rPh sb="6" eb="7">
      <t>ケン</t>
    </rPh>
    <rPh sb="9" eb="10">
      <t>リツ</t>
    </rPh>
    <rPh sb="12" eb="13">
      <t>ヒョウ</t>
    </rPh>
    <phoneticPr fontId="3"/>
  </si>
  <si>
    <t>1‐2歳児</t>
    <rPh sb="3" eb="4">
      <t>サイ</t>
    </rPh>
    <rPh sb="4" eb="5">
      <t>ジ</t>
    </rPh>
    <phoneticPr fontId="3"/>
  </si>
  <si>
    <t>3‐5歳児</t>
    <rPh sb="3" eb="5">
      <t>サイジ</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</si>
  <si>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</si>
  <si>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</si>
  <si>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</si>
  <si>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</si>
  <si>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</si>
  <si>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</si>
  <si>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</si>
  <si>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</si>
  <si>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</si>
  <si>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</si>
  <si>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</si>
  <si>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</si>
  <si>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</si>
  <si>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使用量総量</t>
    <rPh sb="0" eb="3">
      <t>シヨウリョウ</t>
    </rPh>
    <rPh sb="3" eb="5">
      <t>ソウリョウ</t>
    </rPh>
    <phoneticPr fontId="3"/>
  </si>
  <si>
    <t>キッズ</t>
    <phoneticPr fontId="3"/>
  </si>
  <si>
    <t>ご飯</t>
  </si>
  <si>
    <t>※加熱調理する際は中心部75℃で1分以上加熱したことを確認して下さい。</t>
  </si>
  <si>
    <t>切</t>
  </si>
  <si>
    <t>片栗粉</t>
  </si>
  <si>
    <t>油</t>
  </si>
  <si>
    <t>出し汁</t>
  </si>
  <si>
    <t>上白糖</t>
  </si>
  <si>
    <t>醤油</t>
  </si>
  <si>
    <t>小麦</t>
  </si>
  <si>
    <t>みりん風調味料</t>
  </si>
  <si>
    <t>かぼちゃ</t>
  </si>
  <si>
    <t>g</t>
  </si>
  <si>
    <t>※誤嚥防止のために豆は軽く潰してもよいでしょう。_x000D_</t>
  </si>
  <si>
    <t>中国</t>
  </si>
  <si>
    <t>ヶ</t>
  </si>
  <si>
    <t>玉ねぎ</t>
  </si>
  <si>
    <t>冷凍カットほうれん草ＩＱＦ</t>
  </si>
  <si>
    <t>玉子</t>
  </si>
  <si>
    <t>卵</t>
  </si>
  <si>
    <t>酒</t>
  </si>
  <si>
    <t>すまし汁</t>
  </si>
  <si>
    <t>国内加工</t>
  </si>
  <si>
    <t>小麦※14</t>
    <phoneticPr fontId="17"/>
  </si>
  <si>
    <t>カットワカメ（韓国産）</t>
  </si>
  <si>
    <t>韓国</t>
  </si>
  <si>
    <t>精製塩</t>
  </si>
  <si>
    <t>ヨーグルト</t>
  </si>
  <si>
    <t>①砂糖・水を火にかけてシロップを作り冷まします。_x000D_</t>
  </si>
  <si>
    <t>②①とヨーグルトを合わせてください。_x000D_</t>
  </si>
  <si>
    <t>※甘さは砂糖で調節して下さい。_x000D_</t>
  </si>
  <si>
    <t>ﾌﾟﾚｰﾝﾖｰｸﾞﾙﾄ</t>
  </si>
  <si>
    <t>乳</t>
  </si>
  <si>
    <t>水</t>
  </si>
  <si>
    <t>昼</t>
  </si>
  <si>
    <t>牛乳</t>
  </si>
  <si>
    <t>cc</t>
  </si>
  <si>
    <t>※加熱調理する際は中心部75℃で1分以上加熱したことを確認して下さい。_x000D_</t>
  </si>
  <si>
    <t>日本</t>
  </si>
  <si>
    <t>Ｐ</t>
  </si>
  <si>
    <t>酢</t>
  </si>
  <si>
    <t>充てん豆腐</t>
  </si>
  <si>
    <t>丁</t>
  </si>
  <si>
    <t>冷凍カット小松菜ＩＱＦ</t>
  </si>
  <si>
    <t>人参</t>
  </si>
  <si>
    <t>ごま油</t>
  </si>
  <si>
    <t>みそ汁</t>
  </si>
  <si>
    <t>さつま芋</t>
  </si>
  <si>
    <t>えのき茸</t>
  </si>
  <si>
    <t>味噌</t>
  </si>
  <si>
    <t>8月30日(金)配達/9月2日(月)食</t>
    <phoneticPr fontId="3"/>
  </si>
  <si>
    <t>ケチャップライスのふわふわ玉子のせ</t>
  </si>
  <si>
    <t>①野菜はみじん切りします。_x000D_</t>
  </si>
  <si>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</si>
  <si>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</si>
  <si>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</si>
  <si>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</si>
  <si>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</si>
  <si>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国産鶏もも小間(加熱用)</t>
  </si>
  <si>
    <t>バター</t>
  </si>
  <si>
    <t>ケチャップ</t>
  </si>
  <si>
    <t>こしょう</t>
  </si>
  <si>
    <t>冷凍グリンピース</t>
  </si>
  <si>
    <t>キャベツとツナのサラダ</t>
  </si>
  <si>
    <t>①野菜は食べやすい大きさに切り茹で冷まします。ツナは汁気をきってほぐします。_x000D_</t>
  </si>
  <si>
    <t>②①を煮たて冷ました調味料で和えて下さい。_x000D_</t>
  </si>
  <si>
    <t>キャベツ</t>
  </si>
  <si>
    <t>きゅうり</t>
  </si>
  <si>
    <t>ツナフレーク缶</t>
  </si>
  <si>
    <t>タイ</t>
  </si>
  <si>
    <t>スープ</t>
  </si>
  <si>
    <t>冷凍カットチンゲン菜ＩＱＦ</t>
  </si>
  <si>
    <t>コンソメ</t>
  </si>
  <si>
    <t>乳・小麦</t>
  </si>
  <si>
    <t>フルーツ（オレンジ）</t>
  </si>
  <si>
    <t>※原料のまま流水できれいに洗って下さい。</t>
  </si>
  <si>
    <t>ネーブル</t>
  </si>
  <si>
    <t>鉄分強化！ふりかけご飯</t>
  </si>
  <si>
    <t>骨抜きカラスカレイ３０</t>
  </si>
  <si>
    <t>ロシア・中国</t>
  </si>
  <si>
    <t>冷凍国産大豆</t>
  </si>
  <si>
    <t>じゃが芋</t>
  </si>
  <si>
    <t>ごぼう</t>
  </si>
  <si>
    <t>あおさ粉</t>
  </si>
  <si>
    <t>冷凍カット油揚げ</t>
  </si>
  <si>
    <t>9月2日(月)配達/9月3日(火)食</t>
    <phoneticPr fontId="3"/>
  </si>
  <si>
    <t>豚肉と豆腐の麻婆風</t>
  </si>
  <si>
    <t>①豆腐は食べやすい大きさに切って茹で、水切りします。_x000D_</t>
  </si>
  <si>
    <t>②生姜はみじん切りにし、その他の材料は食べやすい大きさに切ります。_x000D_</t>
  </si>
  <si>
    <t>③ごま油で肉・②を炒め、調味料を加えます。_x000D_</t>
  </si>
  <si>
    <t>④ひと煮立ちしたら、豆腐を加えてさらに煮、水溶き片栗粉でとろみをつけて下さい。_x000D_</t>
  </si>
  <si>
    <t>国産豚もも小間</t>
  </si>
  <si>
    <t>生姜</t>
  </si>
  <si>
    <t>長ねぎ</t>
  </si>
  <si>
    <t>ニラ</t>
  </si>
  <si>
    <t>小松菜の中華和え</t>
  </si>
  <si>
    <t>①食べやすい大きさに切った野菜は茹で冷まします。_x000D_</t>
  </si>
  <si>
    <t>②煮立て冷ました調味料で、①・ごまと和えて下さい。_x000D_</t>
  </si>
  <si>
    <t>パプリカ赤</t>
  </si>
  <si>
    <t>白いりごま</t>
  </si>
  <si>
    <t>パラグアイ、グァテマラ、メキシコ、ボリビア、エチオピア等</t>
  </si>
  <si>
    <t>春雨スープ</t>
  </si>
  <si>
    <t>春雨</t>
  </si>
  <si>
    <t>中華味</t>
  </si>
  <si>
    <t>小麦粉</t>
  </si>
  <si>
    <t>国産鶏モモ挽肉(加熱用)</t>
  </si>
  <si>
    <t>①野菜は食べやすい大きさに切ります。_x000D_</t>
  </si>
  <si>
    <t>大根</t>
  </si>
  <si>
    <t>なす</t>
  </si>
  <si>
    <t>9月3日(火)配達/9月4日(水)食</t>
    <phoneticPr fontId="3"/>
  </si>
  <si>
    <t>鉄ふりかけ　大豆</t>
  </si>
  <si>
    <t>小麦※18</t>
    <phoneticPr fontId="17"/>
  </si>
  <si>
    <t>小麦※18</t>
    <phoneticPr fontId="17"/>
  </si>
  <si>
    <t>秋鮭のバター醤油焼き</t>
  </si>
  <si>
    <t>①魚は水けを拭き取ります。酒をふり小麦粉をまぶしてバターで焼きます。_x000D_</t>
  </si>
  <si>
    <t>②①に水・砂糖・正油・みりんを加えて絡めます。_x000D_</t>
  </si>
  <si>
    <t>③食べやすい大きさに切った野菜・コーンは炒め、塩・こしょうして魚に添えて下さい。_x000D_</t>
  </si>
  <si>
    <t>骨抜き秋鮭３０</t>
  </si>
  <si>
    <t>北海道・中国</t>
  </si>
  <si>
    <t>ピーマン</t>
  </si>
  <si>
    <t>冷凍カーネルコーン</t>
  </si>
  <si>
    <t>アメリカ</t>
  </si>
  <si>
    <t>大根ときゅうりの和え物</t>
  </si>
  <si>
    <t>①野菜は短冊切りにし、茹で冷まします。_x000D_</t>
  </si>
  <si>
    <t>②調味料は煮立て冷まし、①を和えて下さい。_x000D_</t>
  </si>
  <si>
    <t>フルーツ（りんご）</t>
  </si>
  <si>
    <t>りんご</t>
  </si>
  <si>
    <t>白菜</t>
  </si>
  <si>
    <t>しめじ</t>
  </si>
  <si>
    <t>9月4日(水)配達/9月5日(木)食</t>
    <phoneticPr fontId="3"/>
  </si>
  <si>
    <t>あったか鶏うどん</t>
  </si>
  <si>
    <t>②鍋にだし汁を煮立て、肉・①・油揚げを加えて具材に火が通るまで煮、調味料を加えます。_x000D_</t>
  </si>
  <si>
    <t>③麺は12分程茹でて洗い、器に盛って②をかけ、刻んで茹でた万能ねぎを散らして下さい。_x000D_</t>
  </si>
  <si>
    <t>（干）うどん</t>
  </si>
  <si>
    <t>オーストラリア、日本</t>
  </si>
  <si>
    <t>万能ねぎ</t>
  </si>
  <si>
    <t>小松菜とトマトの豆腐サラダ</t>
  </si>
  <si>
    <t>②①を煮立て冷ました調味料で和えて下さい。_x000D_</t>
  </si>
  <si>
    <t>トマト</t>
  </si>
  <si>
    <t>骨抜き助宗タラ３０</t>
  </si>
  <si>
    <t>アメリカ・中国</t>
  </si>
  <si>
    <t>白すりごま</t>
  </si>
  <si>
    <t>9月5日(木)配達/9月6日(金)食</t>
    <phoneticPr fontId="3"/>
  </si>
  <si>
    <t>肉じゃが</t>
  </si>
  <si>
    <t>①野菜は角切りし、芋は水にさらします。肉は酒をふります。_x000D_</t>
  </si>
  <si>
    <t>②熱した油で①を炒め、調味料を加えて煮ます。茹でたグリンピースをちらして下さい。_x000D_</t>
  </si>
  <si>
    <t>白菜の玉子炒め</t>
  </si>
  <si>
    <t>②熱した油で溶きほぐした玉子を炒めて、皿等に一度取り出します。_x000D_</t>
  </si>
  <si>
    <t>③②のフライパンに油を加えて野菜を炒め、②を戻し入れて、調味して下さい。_x000D_</t>
  </si>
  <si>
    <t>本</t>
  </si>
  <si>
    <t>鶏ささみ　(加熱用)</t>
  </si>
  <si>
    <t>花かつおＰ</t>
  </si>
  <si>
    <t>フルーツ（バナナ）</t>
  </si>
  <si>
    <t>バナナ</t>
  </si>
  <si>
    <t>マヨネーズ</t>
  </si>
  <si>
    <t>卵・小麦</t>
  </si>
  <si>
    <t>レーズン</t>
  </si>
  <si>
    <t>パセリ</t>
  </si>
  <si>
    <t>冷凍ブロッコリー</t>
  </si>
  <si>
    <t>エクアドル</t>
  </si>
  <si>
    <t>9月6日(金)配達/9月9日(月)食</t>
    <phoneticPr fontId="3"/>
  </si>
  <si>
    <t>なすのミートソースパゲッティ</t>
  </si>
  <si>
    <t>①玉ねぎはみじん切りにします。なすは角切りにし、水にさらします。_x000D_</t>
  </si>
  <si>
    <t>水・酒・ケチャップ・ウスターソース・砂糖を加えて煮ます。_x000D_</t>
  </si>
  <si>
    <t>③麺はたっぷりのお湯で9～10分茹でてバターをからめて、器に盛り②をかけて下さい。_x000D_</t>
  </si>
  <si>
    <t>スパゲッティ</t>
  </si>
  <si>
    <t>カナダ</t>
  </si>
  <si>
    <t>国産豚挽肉</t>
  </si>
  <si>
    <t>ウスターソース</t>
  </si>
  <si>
    <t>さつま芋と大豆のサラダ</t>
  </si>
  <si>
    <t>②調味料を煮立てて冷まし、①と和えて下さい。_x000D_</t>
  </si>
  <si>
    <t>冷凍カットインゲン</t>
  </si>
  <si>
    <t>9月9日(月)配達/9月10日(火)食</t>
    <phoneticPr fontId="3"/>
  </si>
  <si>
    <t>カラスカレイのタルタル焼き</t>
  </si>
  <si>
    <t>①魚は水けをよくふきとり酒をふり、小麦粉をまぶします。油を塗った天板に並べ、180～200度で15分程度焼きます。_x000D_</t>
  </si>
  <si>
    <t>②パセリは茹でて粗くみじん切り、玉子は茹で冷ましつぶして、マヨネーズ・塩・コショウを混ぜます。_x000D_</t>
  </si>
  <si>
    <t>③①の魚に②をのせて、更に焼き火を通します。_x000D_</t>
  </si>
  <si>
    <t>④茹でたトマトを添えて下さい。_x000D_</t>
  </si>
  <si>
    <t>野菜チップス</t>
  </si>
  <si>
    <t>①かぼちゃはくし形のうす切りにし、ごぼうは斜め薄切りにし、水にさらします。_x000D_</t>
  </si>
  <si>
    <t>②①の水けをよく拭きとり、ごぼうは片栗粉をまぶします。_x000D_</t>
  </si>
  <si>
    <t>③②を150～160度の油で揚げ、塩・あおさ粉をまぶして下さい。_x000D_</t>
  </si>
  <si>
    <t>※ピーラー又はスライサーを使用すると野菜がより薄く切れます。_x000D_</t>
  </si>
  <si>
    <t>9月10日(火)配達/9月11日(水)食</t>
    <phoneticPr fontId="3"/>
  </si>
  <si>
    <t>ビビンバ</t>
  </si>
  <si>
    <t>①肉はごま油で炒めて、混ぜ合わせた水・砂糖・みりん・みそで調味します。_x000D_</t>
  </si>
  <si>
    <t>②野菜は食べやすい大きさに切って茹で冷まし、ごま・塩・ごま油でそれぞれ和えます。_x000D_</t>
  </si>
  <si>
    <t>③玉子は砂糖・塩を加えて炒り玉子にします。_x000D_</t>
  </si>
  <si>
    <t>④ご飯に具を彩りよくのせて下さい。_x000D_</t>
  </si>
  <si>
    <t>お豆腐サラダ</t>
  </si>
  <si>
    <t>①豆腐は食べやすい大きさに切り、茹で冷まします。_x000D_</t>
  </si>
  <si>
    <t>②きゅうりは輪切りにして茹で冷まし、ワカメは戻して茹で冷まします。_x000D_</t>
  </si>
  <si>
    <t>③①・②を盛り付けて、煮立て冷ました調味料をかけて下さい。_x000D_</t>
  </si>
  <si>
    <t>中華スープ</t>
  </si>
  <si>
    <t>みかん缶</t>
  </si>
  <si>
    <t>9月11日(水)配達/9月12日(木)食</t>
    <phoneticPr fontId="3"/>
  </si>
  <si>
    <t>助宗タラの甘辛煮</t>
  </si>
  <si>
    <t>①魚は水けをよくふき取り酒をふり、人参はイチョウ切りにします。_x000D_</t>
  </si>
  <si>
    <t>②すりおろした生姜・調味料を煮立て、①を並べて落としぶたをして煮ます。_x000D_</t>
  </si>
  <si>
    <t>③茹でたチンゲン菜を添えて下さい。_x000D_</t>
  </si>
  <si>
    <t>鶏とかぼちゃのソテー</t>
  </si>
  <si>
    <t>①肉・野菜は食べやすい大きさに切ります。_x000D_</t>
  </si>
  <si>
    <t>②バターでかぼちゃを両面焼き、蓋をして蒸し焼きにし、火が通ったら一度取り出します。_x000D_</t>
  </si>
  <si>
    <t>③油で肉・ピーマンの順に炒め、②を戻し入れて炒め合わせ、調味して下さい。_x000D_</t>
  </si>
  <si>
    <t>冷凍カットアスパラ</t>
  </si>
  <si>
    <t>ペルー</t>
  </si>
  <si>
    <t>●お月見カレーライス</t>
  </si>
  <si>
    <t>①茹で卵を作ります。_x000D_</t>
  </si>
  <si>
    <t>とろけるカレー　甘口</t>
  </si>
  <si>
    <t>和風おかかサラダ</t>
  </si>
  <si>
    <t>①野菜は食べやすい大きさに切り茹で冷まします。_x000D_</t>
  </si>
  <si>
    <t>②調味料は煮たて冷まし、①・花かつおを和えて下さい。_x000D_</t>
  </si>
  <si>
    <t>9月13日(金)配達/9月17日(火)食</t>
    <phoneticPr fontId="3"/>
  </si>
  <si>
    <t>豆腐と豚肉のうま煮</t>
  </si>
  <si>
    <t>①豆腐は水切りして食べやすい大きさに切ります。_x000D_</t>
  </si>
  <si>
    <t>②野菜・肉は食べやすい大きさに切り、肉は酒をふります。_x000D_</t>
  </si>
  <si>
    <t>③熱したごま油で肉・野菜を炒め合わせて、豆腐を加えて調味料で煮ます。_x000D_</t>
  </si>
  <si>
    <t>④水溶き片栗粉でとろみを付けて下さい。_x000D_</t>
  </si>
  <si>
    <t>冷凍千切り人参</t>
  </si>
  <si>
    <t>冷凍レッドピーマンスライス</t>
  </si>
  <si>
    <t>冷凍かぼちゃ</t>
  </si>
  <si>
    <t>9月17日(火)配達/9月18日(水)食</t>
    <phoneticPr fontId="3"/>
  </si>
  <si>
    <t>●秋鮭のちゃんちゃん焼き風</t>
  </si>
  <si>
    <t>①魚は2～3等分のそぎ切りしペーパー等で水気をとり、酒をふります。_x000D_</t>
  </si>
  <si>
    <t>②キャベツはザク切り、ピーマンは細切り、人参は短冊切りにします。_x000D_</t>
  </si>
  <si>
    <t>③みそ・みりん・砂糖・酒を混ぜ合わせます。_x000D_</t>
  </si>
  <si>
    <t>④熱した油で魚を焼き、火が通ったら③の半量で味付けをします。_x000D_</t>
  </si>
  <si>
    <t>⑤別のフライパンにバターを溶かし、②・コーンを炒め合わせ、③の残りで味付けをします。_x000D_</t>
  </si>
  <si>
    <t>⑥④・⑤を盛り付けて下さい。_x000D_</t>
  </si>
  <si>
    <t>①野菜は食べやすい大きさに切り、茹で冷まします。_x000D_</t>
  </si>
  <si>
    <t>9月18日(水)配達/9月19日(木)食</t>
    <phoneticPr fontId="3"/>
  </si>
  <si>
    <t>9月18日(水)配達/9月20日(金)食</t>
    <phoneticPr fontId="3"/>
  </si>
  <si>
    <t>フルーツ（みかん缶）</t>
  </si>
  <si>
    <t>9月20日(金)配達/9月24日(火)食</t>
    <phoneticPr fontId="3"/>
  </si>
  <si>
    <t>②玉ねぎはみじん切りにして茹で、水気を絞ります。玉子は茹で冷ましつぶします。_x000D_</t>
  </si>
  <si>
    <t>③②をマヨネーズ・塩・コショウと混ぜます。_x000D_</t>
  </si>
  <si>
    <t>④①の魚に③をのせて、更に焼き火を通します。_x000D_</t>
  </si>
  <si>
    <t>⑤水・砂糖で煮た人参・茹でたアスパラを添えて下さい。_x000D_</t>
  </si>
  <si>
    <t>冷凍シャトーキャロット</t>
  </si>
  <si>
    <t>かぼちゃの塩バター煮</t>
  </si>
  <si>
    <t>①かぼちゃは食べやすい大きさに切り、水（かぼちゃの半分ぐらいの高さ）・塩・砂糖で煮ます。_x000D_</t>
  </si>
  <si>
    <t>※水分をとばすのは、こふき芋を作る要領です。_x000D_</t>
  </si>
  <si>
    <t>冷凍長ネギカット</t>
  </si>
  <si>
    <t>9月24日(火)配達/9月25日(水)食</t>
    <phoneticPr fontId="3"/>
  </si>
  <si>
    <t>9月25日(水)配達/9月26日(木)食</t>
    <phoneticPr fontId="3"/>
  </si>
  <si>
    <t>茹で玉子カレーライス</t>
  </si>
  <si>
    <t>①茹でたまごを作り、食べやすい大きさに切ります。_x000D_</t>
  </si>
  <si>
    <t>④ご飯・③を盛り付け、①を添えて下さい。_x000D_</t>
  </si>
  <si>
    <t>9月27日(金)配達/9月30日(月)食</t>
    <phoneticPr fontId="3"/>
  </si>
  <si>
    <t>①豆腐は食べやすい大きさに切って茹で冷まし、水気をきります。小松菜は茹で冷まし、</t>
    <phoneticPr fontId="17"/>
  </si>
  <si>
    <t>トマトは茹でて食べやすい大きさに切ります。ツナは汁気をきってほぐします。</t>
  </si>
  <si>
    <t>①芋は角切りにして蒸す又は茹で、熱いうちに粗くつぶして冷まし、大豆・食べやすい大きさに切った</t>
    <phoneticPr fontId="17"/>
  </si>
  <si>
    <t>インゲンは茹で冷まします。</t>
  </si>
  <si>
    <t>①魚は水けをよくふきとり酒をふり、小麦粉をまぶします。油を塗った天板に並べ、</t>
    <phoneticPr fontId="17"/>
  </si>
  <si>
    <t>180～200度で15分程度焼きます。</t>
  </si>
  <si>
    <t>砂糖・ケチャップで味を調えます。</t>
  </si>
  <si>
    <t>②熱した油で肉・玉ねぎを炒めます。玉ねぎが透き通ったら、なすを加えて炒め合わせ、</t>
    <phoneticPr fontId="17"/>
  </si>
  <si>
    <t>小麦粉を加えて全体に混ぜ合わせます。</t>
  </si>
  <si>
    <t>荷崩れを防ぐことができます。</t>
  </si>
  <si>
    <t>9月11日(水)配達/9月13日(金)食</t>
    <phoneticPr fontId="3"/>
  </si>
  <si>
    <t>※芋をやわらかくなるまで電子レンジで加熱又は茹で冷まし、他の材料を煮込んだ後に加えると、荷崩れを防ぐことができます。_x000D_</t>
  </si>
  <si>
    <t>※写真を参考に盛り付け下さい。_x000D_</t>
  </si>
  <si>
    <t>9月26日(木)配達/9月27日(金)食</t>
    <phoneticPr fontId="3"/>
  </si>
  <si>
    <t>③油で肉・野菜を炒めて、水・牛乳を加えて煮ます。人参が柔らかくなったらルーを加えて煮込み、</t>
    <phoneticPr fontId="18"/>
  </si>
  <si>
    <t>※芋をやわらかくなるまで電子レンジで加熱又は茹で冷まし、他の材料を煮込んだ後に加えると、</t>
    <phoneticPr fontId="18"/>
  </si>
  <si>
    <t>☆イベントメニュー☆</t>
    <phoneticPr fontId="18"/>
  </si>
  <si>
    <t>まわりにルーを入れ、半分に切った茹で卵を月にみたてて盛ります。茹でたレーズン・ケチャップで顔を作ってください.</t>
  </si>
  <si>
    <t>④ご飯を丸く形を整えうさぎの顔を作り、次にラップでご飯を包んで棒状にし、うさぎの耳を作って盛り付けます。</t>
  </si>
  <si>
    <t>③油で肉・野菜を炒めて、水・牛乳を加えて煮ます。人参が柔らかくなったらルーを加えて煮込み、</t>
    <phoneticPr fontId="18"/>
  </si>
  <si>
    <t>☆イベントメニュー☆</t>
    <phoneticPr fontId="17"/>
  </si>
  <si>
    <t>②かぼちゃがやわらかくなり水分が少なくなってきたら、バターを加えてフタをして</t>
    <phoneticPr fontId="17"/>
  </si>
  <si>
    <t>ゆすりながら軽く水分をとばし下さい。</t>
  </si>
  <si>
    <t>②材料を食べやすい大きさ切り、芋は水にさらします。肉は酒をふります。_x000D_</t>
    <rPh sb="15" eb="16">
      <t>イモ</t>
    </rPh>
    <rPh sb="17" eb="18">
      <t>ミズ</t>
    </rPh>
    <phoneticPr fontId="18"/>
  </si>
  <si>
    <t>＜盛り付けイメージ＞</t>
    <rPh sb="1" eb="2">
      <t>モ</t>
    </rPh>
    <rPh sb="3" eb="4">
      <t>ツ</t>
    </rPh>
    <phoneticPr fontId="18"/>
  </si>
  <si>
    <t>＜盛り付けイメージ＞</t>
    <rPh sb="1" eb="2">
      <t>モ</t>
    </rPh>
    <rPh sb="3" eb="4">
      <t>ツ</t>
    </rPh>
    <phoneticPr fontId="17"/>
  </si>
  <si>
    <t>適量</t>
  </si>
  <si>
    <t>キャベツときゅうりのサラダ</t>
  </si>
  <si>
    <t>少々</t>
  </si>
  <si>
    <t>チンゲン菜・人参ペースト</t>
  </si>
  <si>
    <t>卵黄</t>
  </si>
  <si>
    <t>玉ねぎ・キャベツペースト</t>
  </si>
  <si>
    <t>鶏肉と玉ねぎの玉子とじ煮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</si>
  <si>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</si>
  <si>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</si>
  <si>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</si>
  <si>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</si>
  <si>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</si>
  <si>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</si>
  <si>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</si>
  <si>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</si>
  <si>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</si>
  <si>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すりつぶし</t>
    <phoneticPr fontId="3"/>
  </si>
  <si>
    <t>みじん切り、つぶし</t>
    <rPh sb="3" eb="4">
      <t>ギ</t>
    </rPh>
    <phoneticPr fontId="3"/>
  </si>
  <si>
    <t>5ｍｍ～1ｃｍ</t>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</si>
  <si>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</si>
  <si>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</si>
  <si>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</si>
  <si>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</si>
  <si>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</si>
  <si>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</si>
  <si>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</si>
  <si>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8月30日(金)配達/9月2日(月)食</t>
    <phoneticPr fontId="3"/>
  </si>
  <si>
    <t>離乳食</t>
    <rPh sb="0" eb="3">
      <t>リニュウショク</t>
    </rPh>
    <phoneticPr fontId="3"/>
  </si>
  <si>
    <t>小松菜ペースト</t>
  </si>
  <si>
    <t>豆腐ペースト</t>
  </si>
  <si>
    <t>豆腐と鶏肉のとろとろ煮</t>
  </si>
  <si>
    <t>豆腐と豚肉のとろとろ煮</t>
  </si>
  <si>
    <t>5ｍｍ～1ｃｍ</t>
    <phoneticPr fontId="3"/>
  </si>
  <si>
    <t>9月2日(月)配達/9月3日(火)食</t>
    <phoneticPr fontId="3"/>
  </si>
  <si>
    <t>大根ときゅうりのサラダ</t>
  </si>
  <si>
    <t>りんごペースト</t>
  </si>
  <si>
    <t>大根・人参ペースト</t>
  </si>
  <si>
    <t>キャベツペースト</t>
  </si>
  <si>
    <t>秋鮭と野菜のやわらか煮</t>
  </si>
  <si>
    <t>9月3日(火)配達/9月4日(水)食</t>
    <phoneticPr fontId="3"/>
  </si>
  <si>
    <t>豆腐サラダ</t>
  </si>
  <si>
    <t>玉ねぎ・人参ペースト</t>
  </si>
  <si>
    <t>豆腐のトマト煮ペースト</t>
  </si>
  <si>
    <t>小麦※14</t>
    <phoneticPr fontId="3"/>
  </si>
  <si>
    <t>うどんペースト</t>
  </si>
  <si>
    <t>鶏肉と野菜のくたくたうどん</t>
  </si>
  <si>
    <t>白菜の玉子とじ煮</t>
  </si>
  <si>
    <t>白菜ペースト</t>
  </si>
  <si>
    <t>じゃが芋・玉ねぎ・人参ペースト</t>
  </si>
  <si>
    <t>鶏肉とじゃが芋の煮物</t>
  </si>
  <si>
    <t>豚肉とじゃが芋の煮物</t>
  </si>
  <si>
    <t>すりつぶし</t>
    <phoneticPr fontId="3"/>
  </si>
  <si>
    <t>9月5日(木)配達/9月6日(金)食</t>
    <phoneticPr fontId="3"/>
  </si>
  <si>
    <t>さつま芋サラダ</t>
  </si>
  <si>
    <t>大根ペースト</t>
  </si>
  <si>
    <t>さつま芋・インゲンペースト</t>
  </si>
  <si>
    <t>玉ねぎペースト</t>
  </si>
  <si>
    <t>鶏肉と野菜のやわらか煮</t>
  </si>
  <si>
    <t>豚肉と野菜のやわらか煮</t>
  </si>
  <si>
    <t>5ｍｍ～1ｃｍ</t>
    <phoneticPr fontId="3"/>
  </si>
  <si>
    <t>かぼちゃのマッシュ</t>
  </si>
  <si>
    <t>ほうれん草ペースト</t>
  </si>
  <si>
    <t>かぼちゃペースト</t>
  </si>
  <si>
    <t>カラスカレイのトマト煮ペースト</t>
  </si>
  <si>
    <t>カラスカレイとトマトの玉子とじ</t>
    <rPh sb="11" eb="13">
      <t>タマゴ</t>
    </rPh>
    <phoneticPr fontId="3"/>
  </si>
  <si>
    <t>すりつぶし</t>
    <phoneticPr fontId="3"/>
  </si>
  <si>
    <t>5ｍｍ～1ｃｍ</t>
    <phoneticPr fontId="3"/>
  </si>
  <si>
    <t>9月9日(月)配達/9月10日(火)食</t>
    <phoneticPr fontId="3"/>
  </si>
  <si>
    <t>バナナペースト</t>
  </si>
  <si>
    <t>豆腐・大根ペースト</t>
  </si>
  <si>
    <t>小松菜・人参ペースト</t>
  </si>
  <si>
    <t>鶏肉と小松菜の玉子とじ</t>
  </si>
  <si>
    <t>豚肉と小松菜の玉子とじ</t>
  </si>
  <si>
    <t>鶏肉とかぼちゃのとろとろ煮</t>
  </si>
  <si>
    <t>かぼちゃ・白菜ペースト</t>
  </si>
  <si>
    <t>助宗タラ・チンゲン菜・人参ペースト</t>
  </si>
  <si>
    <t>助宗タラとチンゲン菜のくたくた煮</t>
  </si>
  <si>
    <t>すりつぶし</t>
    <phoneticPr fontId="3"/>
  </si>
  <si>
    <t>9月11日(水)配達/9月12日(木)食</t>
    <phoneticPr fontId="3"/>
  </si>
  <si>
    <t>玉子のサラダ</t>
  </si>
  <si>
    <t>キャベツ・ブロッコリーペースト</t>
  </si>
  <si>
    <t>玉ねぎ・人参・じゃが芋ペースト</t>
    <rPh sb="10" eb="11">
      <t>イモ</t>
    </rPh>
    <phoneticPr fontId="3"/>
  </si>
  <si>
    <t>鶏肉と野菜のミルク煮</t>
  </si>
  <si>
    <t>豚肉と野菜のミルク煮</t>
  </si>
  <si>
    <t>小松菜のだし煮</t>
  </si>
  <si>
    <t>豆腐の野菜煮ペースト</t>
  </si>
  <si>
    <t>5ｍｍ～1ｃｍ</t>
    <phoneticPr fontId="3"/>
  </si>
  <si>
    <t>9月17日(火)配達/9月18日(水)食</t>
    <phoneticPr fontId="3"/>
  </si>
  <si>
    <t>小麦※14</t>
    <phoneticPr fontId="3"/>
  </si>
  <si>
    <t>9月18日(水)配達/9月19日(木)食</t>
    <phoneticPr fontId="3"/>
  </si>
  <si>
    <t>9月18日(水)配達/9月20日(金)食</t>
    <phoneticPr fontId="3"/>
  </si>
  <si>
    <t>かぼちゃ・ほうれん草ペースト</t>
  </si>
  <si>
    <t>カラスカレイ・玉ねぎペースト</t>
  </si>
  <si>
    <t>カラスカレイと野菜の玉子とじ</t>
    <rPh sb="10" eb="12">
      <t>タマゴ</t>
    </rPh>
    <phoneticPr fontId="3"/>
  </si>
  <si>
    <t>カラスカレイと野菜の玉子とじ煮</t>
  </si>
  <si>
    <t>5ｍｍ～1ｃｍ</t>
    <phoneticPr fontId="3"/>
  </si>
  <si>
    <t>9月24日(火)配達/9月25日(水)食</t>
    <phoneticPr fontId="3"/>
  </si>
  <si>
    <t>9月25日(水)配達/9月26日(木)食</t>
    <phoneticPr fontId="3"/>
  </si>
  <si>
    <t>5ｍｍ～1ｃｍ</t>
    <phoneticPr fontId="3"/>
  </si>
  <si>
    <t>9月27日(金)配達/9月30日(月)食</t>
    <phoneticPr fontId="3"/>
  </si>
  <si>
    <t>キッズ</t>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</si>
  <si>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</si>
  <si>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</si>
  <si>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</si>
  <si>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キッズ</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</si>
  <si>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</si>
  <si>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</si>
  <si>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</si>
  <si>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</si>
  <si>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</si>
  <si>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</si>
  <si>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月</t>
  </si>
  <si>
    <t>ご飯・バター・砂糖・油</t>
    <phoneticPr fontId="3"/>
  </si>
  <si>
    <t>ツナフレーク缶・牛乳・玉子・鶏肉</t>
  </si>
  <si>
    <t>オレンジ・キャベツ・きゅうり・グリンピース・チンゲン菜・玉ねぎ・人参</t>
  </si>
  <si>
    <t>kcal</t>
  </si>
  <si>
    <t>乳・卵・小麦_x000D_
※107</t>
    <phoneticPr fontId="3"/>
  </si>
  <si>
    <t>火</t>
  </si>
  <si>
    <t>ごま・ごま油・ご飯・砂糖・春雨・片栗粉・マカロニ</t>
    <phoneticPr fontId="3"/>
  </si>
  <si>
    <t>牛乳・玉子・豆腐・豚肉・きなこ</t>
    <phoneticPr fontId="3"/>
  </si>
  <si>
    <t>かぼちゃ・ブロッコリー・ワカメ・玉ねぎ・小松菜・人参・赤ピーマン</t>
  </si>
  <si>
    <t>乳・卵・小麦_x000D_
※28</t>
    <phoneticPr fontId="3"/>
  </si>
  <si>
    <t>ｇ</t>
    <phoneticPr fontId="3"/>
  </si>
  <si>
    <t>味噌蒸しパン</t>
    <rPh sb="0" eb="2">
      <t>ミソ</t>
    </rPh>
    <rPh sb="2" eb="3">
      <t>ム</t>
    </rPh>
    <phoneticPr fontId="3"/>
  </si>
  <si>
    <t>ｇ</t>
    <phoneticPr fontId="3"/>
  </si>
  <si>
    <t>マカロニきなこ</t>
    <phoneticPr fontId="3"/>
  </si>
  <si>
    <t>g</t>
    <phoneticPr fontId="3"/>
  </si>
  <si>
    <t>ごま・ごま油・ご飯・砂糖・春雨・片栗粉・マカロニ</t>
    <phoneticPr fontId="3"/>
  </si>
  <si>
    <t>牛乳・玉子・豆腐・豚肉・きなこ</t>
    <phoneticPr fontId="3"/>
  </si>
  <si>
    <t>かぼちゃ・ニラ・パプリカ赤・ワカメ・小松菜・生姜・長ねぎ</t>
  </si>
  <si>
    <t>kcal</t>
    <phoneticPr fontId="3"/>
  </si>
  <si>
    <t>kcal</t>
    <phoneticPr fontId="3"/>
  </si>
  <si>
    <t>乳・卵・小麦_x000D_
※28</t>
    <phoneticPr fontId="3"/>
  </si>
  <si>
    <t>18
水</t>
    <rPh sb="3" eb="4">
      <t>スイ</t>
    </rPh>
    <phoneticPr fontId="3"/>
  </si>
  <si>
    <t>イベント献立</t>
    <rPh sb="4" eb="6">
      <t>コンダテ</t>
    </rPh>
    <phoneticPr fontId="3"/>
  </si>
  <si>
    <t>ごま・ごま油・ご飯・バター・砂糖・片栗粉・油・食パン・いちごジャム</t>
    <rPh sb="23" eb="24">
      <t>ショク</t>
    </rPh>
    <phoneticPr fontId="3"/>
  </si>
  <si>
    <t>チーズ・牛乳・玉子・秋鮭・油揚げ</t>
  </si>
  <si>
    <t>キャベツ・きゅうり・コーン・ピーマン・りんご・大根</t>
    <phoneticPr fontId="3"/>
  </si>
  <si>
    <t>乳・卵・小麦_x000D_
※18</t>
    <phoneticPr fontId="3"/>
  </si>
  <si>
    <t>マカロニきなこ</t>
    <phoneticPr fontId="3"/>
  </si>
  <si>
    <t>秋鮭のちゃんちゃん焼き風</t>
    <phoneticPr fontId="3"/>
  </si>
  <si>
    <t>ｇ</t>
    <phoneticPr fontId="3"/>
  </si>
  <si>
    <t>ジャムサンド</t>
    <phoneticPr fontId="3"/>
  </si>
  <si>
    <t>ごま・ごま油・ご飯・バター・砂糖・小麦粉・片栗粉・油・食パン・いちごジャム</t>
    <rPh sb="27" eb="28">
      <t>ショク</t>
    </rPh>
    <phoneticPr fontId="3"/>
  </si>
  <si>
    <t>キャベツ・きゅうり・コーン・ピーマン・りんご・大根</t>
    <phoneticPr fontId="3"/>
  </si>
  <si>
    <t>kcal</t>
    <phoneticPr fontId="3"/>
  </si>
  <si>
    <t>乳・卵・小麦_x000D_
※18</t>
    <phoneticPr fontId="3"/>
  </si>
  <si>
    <t>木</t>
  </si>
  <si>
    <t>うどん・ごま油・砂糖</t>
    <phoneticPr fontId="3"/>
  </si>
  <si>
    <t>ツナフレーク缶・牛乳・鶏肉・豆腐・油揚げ</t>
    <phoneticPr fontId="3"/>
  </si>
  <si>
    <t>オレンジ・しめじ・トマト・玉ねぎ・小松菜・人参・万能ねぎ</t>
  </si>
  <si>
    <t>乳・小麦_x000D_
※14</t>
    <phoneticPr fontId="3"/>
  </si>
  <si>
    <t>ジャムサンド</t>
    <phoneticPr fontId="3"/>
  </si>
  <si>
    <t>パイ</t>
    <phoneticPr fontId="3"/>
  </si>
  <si>
    <t>せんべい</t>
    <phoneticPr fontId="3"/>
  </si>
  <si>
    <t>うどん・ごま油・砂糖・ホットケーキミックス</t>
    <phoneticPr fontId="3"/>
  </si>
  <si>
    <t>金</t>
  </si>
  <si>
    <t>ご飯・じゃが芋・砂糖・油・つぶあん</t>
    <phoneticPr fontId="3"/>
  </si>
  <si>
    <t>牛乳・玉子・豚肉・きなこ</t>
    <phoneticPr fontId="3"/>
  </si>
  <si>
    <t>グリンピース・ニラ・ワカメ・玉ねぎ・人参・長ねぎ・白菜</t>
    <phoneticPr fontId="3"/>
  </si>
  <si>
    <t>サーターアンダギー</t>
    <phoneticPr fontId="3"/>
  </si>
  <si>
    <t>手作りおはぎ風</t>
    <rPh sb="0" eb="2">
      <t>テヅク</t>
    </rPh>
    <rPh sb="6" eb="7">
      <t>フウ</t>
    </rPh>
    <phoneticPr fontId="3"/>
  </si>
  <si>
    <t>&lt;彼岸入り&gt;</t>
    <rPh sb="1" eb="3">
      <t>ヒガン</t>
    </rPh>
    <rPh sb="3" eb="4">
      <t>イ</t>
    </rPh>
    <phoneticPr fontId="3"/>
  </si>
  <si>
    <t>ご飯・じゃが芋・砂糖・油・ウエハース・せんべい</t>
    <phoneticPr fontId="3"/>
  </si>
  <si>
    <t>牛乳・玉子・豚肉</t>
    <phoneticPr fontId="3"/>
  </si>
  <si>
    <t>きゅうり・グリンピース・ニラ・ワカメ・玉ねぎ・人参・長ねぎ・白菜</t>
  </si>
  <si>
    <t>乳・卵・小麦</t>
  </si>
  <si>
    <t>ウエハース</t>
    <phoneticPr fontId="3"/>
  </si>
  <si>
    <t>ご飯・バター・マヨネーズ・砂糖・小麦粉・・油・ホットケーキミックス</t>
    <phoneticPr fontId="3"/>
  </si>
  <si>
    <t>カラスカレイ・牛乳・玉子・チーズ</t>
    <phoneticPr fontId="3"/>
  </si>
  <si>
    <t>アスパラ・かぼちゃ・みかん缶・玉ねぎ・小松菜・人参</t>
    <phoneticPr fontId="3"/>
  </si>
  <si>
    <t>乳・卵・小麦_x000D_
※14・※66</t>
    <phoneticPr fontId="3"/>
  </si>
  <si>
    <t>チーズ入りカップケーキ</t>
    <rPh sb="3" eb="4">
      <t>イ</t>
    </rPh>
    <phoneticPr fontId="3"/>
  </si>
  <si>
    <t>さつま芋・スパゲッティ・バター・マヨネーズ・砂糖・小麦粉・油・ご飯</t>
    <rPh sb="32" eb="33">
      <t>ハン</t>
    </rPh>
    <phoneticPr fontId="3"/>
  </si>
  <si>
    <t>牛乳・玉子・大豆・豚肉・鮭</t>
    <rPh sb="12" eb="13">
      <t>サケ</t>
    </rPh>
    <phoneticPr fontId="3"/>
  </si>
  <si>
    <t>インゲン・なす・ワカメ・玉ねぎ・大根・コーン・パセリ</t>
    <phoneticPr fontId="3"/>
  </si>
  <si>
    <t>ごま・ごま油・ご飯・砂糖・片栗粉・油・ホットケーキミックス</t>
    <phoneticPr fontId="3"/>
  </si>
  <si>
    <t>牛乳・玉子・豆腐・豚肉</t>
    <phoneticPr fontId="3"/>
  </si>
  <si>
    <t>オレンジ・きゅうり・ワカメ・小松菜・人参・大根・万能ねぎ・玉葱・青のり</t>
    <rPh sb="29" eb="31">
      <t>タマネギ</t>
    </rPh>
    <rPh sb="32" eb="33">
      <t>アオ</t>
    </rPh>
    <phoneticPr fontId="3"/>
  </si>
  <si>
    <t>鮭チャーハン</t>
    <rPh sb="0" eb="1">
      <t>サケ</t>
    </rPh>
    <phoneticPr fontId="3"/>
  </si>
  <si>
    <t>にゅう麺</t>
    <rPh sb="3" eb="4">
      <t>メン</t>
    </rPh>
    <phoneticPr fontId="3"/>
  </si>
  <si>
    <t>ご飯・マヨネーズ・砂糖・小麦粉・油・ホットケーキミックス</t>
    <rPh sb="16" eb="17">
      <t>アブラ</t>
    </rPh>
    <phoneticPr fontId="3"/>
  </si>
  <si>
    <t>カラスカレイ・ヨーグルト・牛乳・玉子・チーズ</t>
    <phoneticPr fontId="3"/>
  </si>
  <si>
    <t>あおさ粉・えのき茸・かぼちゃ・ごぼう・トマト・パセリ・小松菜</t>
    <phoneticPr fontId="3"/>
  </si>
  <si>
    <t>ご飯・バター・砂糖・油</t>
  </si>
  <si>
    <t>スケソウタラ・チーズ・ヨーグルト・牛乳・鶏肉・鮭</t>
    <rPh sb="23" eb="24">
      <t>サケ</t>
    </rPh>
    <phoneticPr fontId="3"/>
  </si>
  <si>
    <t>かぼちゃ・チンゲン菜・ピーマン・枝豆・人参・生姜・長ねぎ・白菜・玉葱・コーン・パセリ</t>
    <rPh sb="32" eb="34">
      <t>タマネギ</t>
    </rPh>
    <phoneticPr fontId="3"/>
  </si>
  <si>
    <t>乳・小麦_x000D_
※18</t>
    <phoneticPr fontId="3"/>
  </si>
  <si>
    <t>ごま・ごま油・ご飯・砂糖・片栗粉・油・そうめん</t>
    <phoneticPr fontId="3"/>
  </si>
  <si>
    <t>牛乳・玉子・豆腐・豚肉</t>
  </si>
  <si>
    <t>きゅうり・バナナ・ワカメ・小松菜・人参・大根・万能ねぎ・玉葱・青のり</t>
    <rPh sb="28" eb="30">
      <t>タマネギ</t>
    </rPh>
    <rPh sb="31" eb="32">
      <t>アオ</t>
    </rPh>
    <phoneticPr fontId="3"/>
  </si>
  <si>
    <t>ご飯・じゃが芋・砂糖・油・ビスケット・せんべい</t>
    <phoneticPr fontId="3"/>
  </si>
  <si>
    <t>花かつお・牛乳・玉子・豚肉</t>
  </si>
  <si>
    <t>キャベツ・ブロッコリー・りんご・レーズン・玉ねぎ・人参</t>
    <phoneticPr fontId="3"/>
  </si>
  <si>
    <t>ビスケット</t>
    <phoneticPr fontId="3"/>
  </si>
  <si>
    <t>ご飯・バター・砂糖・油・胡麻</t>
    <rPh sb="12" eb="14">
      <t>ゴマ</t>
    </rPh>
    <phoneticPr fontId="3"/>
  </si>
  <si>
    <t>スケソウタラ・チーズ・牛乳・鶏肉・鰹節</t>
    <rPh sb="17" eb="19">
      <t>カツオブシ</t>
    </rPh>
    <phoneticPr fontId="3"/>
  </si>
  <si>
    <t>オレンジ・かぼちゃ・チンゲン菜・ピーマン・枝豆・人参・生姜・長ねぎ・白菜</t>
    <phoneticPr fontId="3"/>
  </si>
  <si>
    <t>おかかのおにぎり</t>
    <phoneticPr fontId="3"/>
  </si>
  <si>
    <t>ご飯・バター・砂糖・油</t>
    <phoneticPr fontId="3"/>
  </si>
  <si>
    <t>13
金</t>
    <rPh sb="3" eb="4">
      <t>キン</t>
    </rPh>
    <phoneticPr fontId="3"/>
  </si>
  <si>
    <t>お月見カレーライス</t>
    <phoneticPr fontId="3"/>
  </si>
  <si>
    <t>ごま・ご飯・じゃが芋・砂糖・油・クッキー・クラッカー</t>
    <phoneticPr fontId="3"/>
  </si>
  <si>
    <t>クッキー</t>
    <phoneticPr fontId="3"/>
  </si>
  <si>
    <t>クラッカー</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</si>
  <si>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</si>
  <si>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&lt;十五夜&gt;</t>
    <rPh sb="1" eb="4">
      <t>ジュウゴヤ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</si>
  <si>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</si>
  <si>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</si>
  <si>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</si>
  <si>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</si>
  <si>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※都合により、献立を変更する場合がございます。</t>
    <rPh sb="1" eb="3">
      <t>ツゴウ</t>
    </rPh>
    <rPh sb="7" eb="9">
      <t>コンダテ</t>
    </rPh>
    <rPh sb="10" eb="12">
      <t>ヘンコウ</t>
    </rPh>
    <rPh sb="14" eb="16">
      <t>バアイ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</si>
  <si>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</si>
  <si>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</si>
  <si>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</si>
  <si>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</si>
  <si>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</si>
  <si>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</si>
  <si>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※14　この商品は「そば・卵」を含む製品と同じ施設で製造しておりますが、混入を最小限に抑えるように十分に配慮して生産されております。</t>
  </si>
  <si>
    <t>3～5</t>
    <phoneticPr fontId="3"/>
  </si>
  <si>
    <t>歳</t>
    <rPh sb="0" eb="1">
      <t>サイ</t>
    </rPh>
    <phoneticPr fontId="3"/>
  </si>
  <si>
    <t>585/24.1/16.2/85.5/1.8未満</t>
    <rPh sb="22" eb="24">
      <t>ミマン</t>
    </rPh>
    <phoneticPr fontId="3"/>
  </si>
  <si>
    <t>※15　本製品に使用している原料魚は、えび・かにが混ざる漁法で採取しています。</t>
  </si>
  <si>
    <t>1～2</t>
    <phoneticPr fontId="3"/>
  </si>
  <si>
    <t>485/20.1/13.5/71.0/1.5未満</t>
    <rPh sb="22" eb="24">
      <t>ミマン</t>
    </rPh>
    <phoneticPr fontId="3"/>
  </si>
  <si>
    <t>※18　本製品で使用している海苔は、えび・かにの生息域で採取しています。</t>
  </si>
  <si>
    <t>※28　小麦を使用した設備で製造しています。</t>
  </si>
  <si>
    <t>※60　本工場では小麦・乳を使用しております。</t>
  </si>
  <si>
    <t>※66　製造ラインで「えび」「いか」を含む製品を製造致しております。</t>
  </si>
  <si>
    <t>※78　本品製造工場では、大豆を含む製品を製造しております。</t>
  </si>
  <si>
    <t>※107　本製品工場では卵、乳、ごま、さば、大豆、鶏肉、やまいも、ゼラチンを含む製品を生産しております。</t>
  </si>
  <si>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</si>
  <si>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</si>
  <si>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</si>
  <si>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</si>
  <si>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</si>
  <si>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</si>
  <si>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おかゆ・鶏肉・玉子・玉ねぎ・出し汁・砂糖・醤油・キャベツ・きゅうり・チンゲン菜・人参・水・オレンジ</t>
  </si>
  <si>
    <t>おかゆ・玉ねぎ・キャベツ・チンゲン菜・人参・オレンジ</t>
  </si>
  <si>
    <t>おかゆ・豆腐・豚肉・玉ねぎ・人参・ブロッコリー・出し汁・醤油・砂糖・片栗粉・小松菜・赤ピーマン・ワカメ・水</t>
  </si>
  <si>
    <t>おかゆ・豆腐・鶏肉・玉ねぎ・人参・ブロッコリー・出し汁・醤油・砂糖・片栗粉・小松菜・赤ピーマン・ワカメ・水</t>
  </si>
  <si>
    <t>おかゆ・豆腐・玉ねぎ・人参・ブロッコリー・小松菜</t>
  </si>
  <si>
    <t>スープ・フルーツ（オレンジ）</t>
    <phoneticPr fontId="3"/>
  </si>
  <si>
    <t>おかゆ・豆腐・豚肉・小松菜・パプリカ赤・長ねぎ・出し汁・醤油・砂糖・片栗粉・ワカメ・水</t>
  </si>
  <si>
    <t>おかゆ・豆腐・鶏肉・小松菜・パプリカ赤・出し汁・醤油・砂糖・片栗粉・ワカメ・水</t>
  </si>
  <si>
    <t>おかゆ・豆腐・小松菜</t>
  </si>
  <si>
    <t>おかゆ・秋鮭・キャベツ・ピーマン・出し汁・砂糖・醤油・大根・きゅうり・人参・玉子・りんご</t>
  </si>
  <si>
    <t>おかゆ・キャベツ・大根・人参・りんご</t>
  </si>
  <si>
    <t>すまし汁・フルーツ（りんご）</t>
    <phoneticPr fontId="3"/>
  </si>
  <si>
    <t>鶏肉・うどん・玉ねぎ・人参・しめじ・出し汁・醤油・砂糖・豆腐・小松菜・トマト・オレンジ</t>
  </si>
  <si>
    <t>鶏肉・うどん・玉ねぎ・人参・出し汁・醤油・砂糖・豆腐・小松菜・トマト・オレンジ</t>
  </si>
  <si>
    <t>うどん・豆腐・小松菜・トマト・玉ねぎ・人参・オレンジ</t>
  </si>
  <si>
    <t>すまし汁・フルーツ（りんご）</t>
    <phoneticPr fontId="3"/>
  </si>
  <si>
    <t>おかゆ・豚肉・じゃが芋・玉ねぎ・人参・出し汁・砂糖・醤油・白菜・玉子・ワカメ・味噌</t>
  </si>
  <si>
    <t>おかゆ・鶏肉・じゃが芋・玉ねぎ・人参・出し汁・砂糖・醤油・白菜・玉子・ワカメ・味噌</t>
  </si>
  <si>
    <t>おかゆ・じゃが芋・玉ねぎ・人参・白菜</t>
  </si>
  <si>
    <t>おかゆ・カラスカレイ・玉ねぎ・人参・アスパラ・玉子・水・精製塩・かぼちゃ・出し汁・ほうれん草・味噌</t>
  </si>
  <si>
    <t>おかゆ・カラスカレイ・玉ねぎ・人参・玉子・水・精製塩・かぼちゃ・出し汁・ほうれん草・味噌</t>
  </si>
  <si>
    <t>おかゆ・カラスカレイ・玉ねぎ・かぼちゃ・ほうれん草</t>
  </si>
  <si>
    <t>カラスカレイと野菜の玉とじ</t>
  </si>
  <si>
    <t>おかゆ・豚肉・玉ねぎ・なす・出し汁・砂糖・醤油・さつま芋・インゲン・大豆・大根・ワカメ・水</t>
  </si>
  <si>
    <t>おかゆ・鶏肉・玉ねぎ・なす・出し汁・砂糖・醤油・さつま芋・インゲン・大根・ワカメ・水</t>
  </si>
  <si>
    <t>おかゆ・玉ねぎ・さつま芋・インゲン・大根</t>
  </si>
  <si>
    <t>おかゆ・豚肉・小松菜・人参・玉子・出し汁・砂糖・醤油・豆腐・きゅうり・ワカメ・大根・水・バナナ</t>
  </si>
  <si>
    <t>おかゆ・鶏肉・小松菜・人参・玉子・出し汁・砂糖・醤油・豆腐・きゅうり・ワカメ・大根・水・バナナ</t>
  </si>
  <si>
    <t>おかゆ・小松菜・人参・豆腐・大根・バナナ</t>
  </si>
  <si>
    <t>スープ・フルーツ（バナナ）</t>
    <phoneticPr fontId="3"/>
  </si>
  <si>
    <t>おかゆ・カラスカレイ・トマト・玉子・水・精製塩・かぼちゃ・出し汁・ほうれん草・えのき茸・味噌・ヨーグルト・砂糖</t>
  </si>
  <si>
    <t>おかゆ・カラスカレイ・トマト・玉子・水・精製塩・かぼちゃ・出し汁・ほうれん草・味噌・ヨーグルト・砂糖</t>
  </si>
  <si>
    <t>おかゆ・トマト・カラスカレイ・かぼちゃ・ほうれん草・ヨーグルト</t>
  </si>
  <si>
    <t>おかゆ・スケソウタラ・チンゲン菜・人参・出し汁・醤油・鶏肉・かぼちゃ・ピーマン・砂糖・白菜・味噌・ヨーグルト</t>
  </si>
  <si>
    <t>おかゆ・スケソウタラ・チンゲン菜・人参・かぼちゃ・白菜・ヨーグルト</t>
  </si>
  <si>
    <t>カラスカレイとトマトの玉とじ</t>
  </si>
  <si>
    <t>みそ汁・ヨーグルト</t>
    <phoneticPr fontId="3"/>
  </si>
  <si>
    <t>ほうれん草ペースト・ヨーグルト</t>
    <phoneticPr fontId="3"/>
  </si>
  <si>
    <t>おかゆ・豚肉・玉ねぎ・じゃが芋・人参・牛乳・水・精製塩・キャベツ・ブロッコリー・玉子・りんご</t>
  </si>
  <si>
    <t>おかゆ・鶏肉・玉ねぎ・じゃが芋・人参・牛乳・水・精製塩・キャベツ・ブロッコリー・玉子・りんご</t>
  </si>
  <si>
    <t>おかゆ・玉ねぎ・人参・じゃが芋・キャベツ・ブロッコリー・りんご</t>
  </si>
  <si>
    <t>玉ねぎ・人参・じゃが芋ペースト</t>
  </si>
  <si>
    <t>おかゆ・スケソウタラ・チンゲン菜・人参・出し汁・醤油・鶏肉・かぼちゃ・ピーマン・砂糖・白菜・味噌・オレンジ</t>
  </si>
  <si>
    <t>おかゆ・スケソウタラ・チンゲン菜・人参・かぼちゃ・白菜・オレンジ</t>
  </si>
  <si>
    <t>みそ汁・フルーツ（オレンジ）</t>
    <phoneticPr fontId="3"/>
  </si>
  <si>
    <t>スープ・フルーツ（オレンジ）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</si>
</sst>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2"/>
    <numFmt numFmtId="177" formatCode="#\ ?/4"/>
    <numFmt numFmtId="178" formatCode="#\ ?/8"/>
    <numFmt numFmtId="179" formatCode="#\ ?/3"/>
    <numFmt numFmtId="180" formatCode="#\ ?/6"/>
    <numFmt numFmtId="181" formatCode="#\ ?/10"/>
    <numFmt numFmtId="182" formatCode="#\ ?/12"/>
    <numFmt numFmtId="183" formatCode="0.0_ "/>
    <numFmt numFmtId="184" formatCode="0_ "/>
  </numFmts>
  <fonts count="37"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b/>
      <sz val="12"/>
      <name val="ＭＳ Ｐ明朝"/>
      <family val="1"/>
      <charset val="128"/>
    </font>
    <font>
      <sz val="7"/>
      <name val="ＭＳ Ｐ明朝"/>
      <family val="1"/>
      <charset val="128"/>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13">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FFCC99"/>
        <bgColor indexed="64"/>
      </patternFill>
    </fill>
    <fill>
      <patternFill patternType="solid">
        <fgColor rgb="FFFFFF00"/>
        <bgColor indexed="64"/>
      </patternFill>
    </fill>
    <fill>
      <patternFill patternType="solid">
        <fgColor rgb="FFCCFFFF"/>
        <bgColor indexed="64"/>
      </patternFill>
    </fill>
    <fill>
      <patternFill patternType="solid">
        <fgColor rgb="FFCCFF99"/>
        <bgColor indexed="64"/>
      </patternFill>
    </fill>
    <fill>
      <patternFill patternType="solid">
        <fgColor theme="0" tint="-0.249977111117893"/>
        <bgColor indexed="64"/>
      </patternFill>
    </fill>
  </fills>
  <borders count="8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55"/>
      </bottom>
      <diagonal/>
    </border>
    <border>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right style="thin">
        <color indexed="64"/>
      </right>
      <top style="thin">
        <color indexed="23"/>
      </top>
      <bottom style="thin">
        <color indexed="23"/>
      </bottom>
      <diagonal/>
    </border>
    <border>
      <left style="thin">
        <color indexed="64"/>
      </left>
      <right style="thin">
        <color indexed="64"/>
      </right>
      <top style="thin">
        <color indexed="55"/>
      </top>
      <bottom style="thin">
        <color indexed="64"/>
      </bottom>
      <diagonal/>
    </border>
    <border>
      <left/>
      <right style="thin">
        <color indexed="64"/>
      </right>
      <top style="thin">
        <color indexed="23"/>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55"/>
      </top>
      <bottom/>
      <diagonal/>
    </border>
    <border>
      <left/>
      <right style="thin">
        <color indexed="64"/>
      </right>
      <top style="thin">
        <color indexed="23"/>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right style="thin">
        <color indexed="64"/>
      </right>
      <top style="thin">
        <color indexed="64"/>
      </top>
      <bottom style="thin">
        <color indexed="23"/>
      </bottom>
      <diagonal/>
    </border>
    <border>
      <left/>
      <right style="thin">
        <color indexed="64"/>
      </right>
      <top style="thin">
        <color indexed="23"/>
      </top>
      <bottom style="medium">
        <color indexed="64"/>
      </bottom>
      <diagonal/>
    </border>
    <border>
      <left style="thin">
        <color indexed="64"/>
      </left>
      <right style="thin">
        <color indexed="64"/>
      </right>
      <top style="thin">
        <color indexed="55"/>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23"/>
      </bottom>
      <diagonal/>
    </border>
    <border>
      <left style="medium">
        <color indexed="64"/>
      </left>
      <right style="thin">
        <color indexed="64"/>
      </right>
      <top style="thin">
        <color indexed="23"/>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409">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1"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0" xfId="1" applyNumberFormat="1" applyFont="1" applyBorder="1" applyAlignment="1">
      <alignment shrinkToFit="1"/>
    </xf>
    <xf numFmtId="0" fontId="11" fillId="0" borderId="3" xfId="1" applyFont="1" applyBorder="1" applyAlignment="1">
      <alignment horizontal="left" vertical="center"/>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2" fillId="0" borderId="6" xfId="1" applyNumberFormat="1" applyFont="1" applyBorder="1" applyAlignment="1">
      <alignment horizontal="center" vertical="center" wrapText="1"/>
    </xf>
    <xf numFmtId="0" fontId="11" fillId="0" borderId="6" xfId="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xf>
    <xf numFmtId="0" fontId="13" fillId="0" borderId="6" xfId="1" applyNumberFormat="1" applyFont="1" applyBorder="1" applyAlignment="1">
      <alignment horizontal="center" vertical="center" wrapText="1" shrinkToFit="1"/>
    </xf>
    <xf numFmtId="0" fontId="11" fillId="0" borderId="5" xfId="1" applyNumberFormat="1" applyFont="1" applyBorder="1" applyAlignment="1">
      <alignment horizontal="center" vertical="center" shrinkToFit="1"/>
    </xf>
    <xf numFmtId="0" fontId="11"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4"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6" xfId="1" applyNumberFormat="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2" xfId="1" applyFont="1" applyFill="1" applyBorder="1" applyAlignment="1">
      <alignment horizontal="center" vertical="center"/>
    </xf>
    <xf numFmtId="0" fontId="5" fillId="0" borderId="2" xfId="1" applyNumberFormat="1" applyFont="1" applyFill="1" applyBorder="1" applyAlignment="1">
      <alignment horizontal="center" vertical="center"/>
    </xf>
    <xf numFmtId="0" fontId="15"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6" fontId="4" fillId="0" borderId="11" xfId="1" applyNumberFormat="1" applyFont="1" applyBorder="1" applyAlignment="1">
      <alignment horizontal="center" vertical="top" shrinkToFit="1"/>
    </xf>
    <xf numFmtId="0" fontId="15"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4" fillId="0" borderId="12" xfId="1" applyFont="1" applyBorder="1" applyAlignment="1">
      <alignment horizontal="center" vertical="top" shrinkToFit="1"/>
    </xf>
    <xf numFmtId="0" fontId="14" fillId="0" borderId="12" xfId="1" applyFont="1" applyBorder="1" applyAlignment="1">
      <alignment vertical="top" shrinkToFit="1"/>
    </xf>
    <xf numFmtId="0" fontId="16" fillId="0" borderId="12" xfId="1" applyNumberFormat="1" applyFont="1" applyBorder="1" applyAlignment="1">
      <alignment horizontal="center" vertical="top" shrinkToFit="1"/>
    </xf>
    <xf numFmtId="177" fontId="4" fillId="0" borderId="11" xfId="1" applyNumberFormat="1" applyFont="1" applyBorder="1" applyAlignment="1">
      <alignment horizontal="center" vertical="top" shrinkToFit="1"/>
    </xf>
    <xf numFmtId="179" fontId="4" fillId="0" borderId="11" xfId="1" applyNumberFormat="1" applyFont="1" applyBorder="1" applyAlignment="1">
      <alignment horizontal="center" vertical="top" shrinkToFit="1"/>
    </xf>
    <xf numFmtId="0" fontId="6" fillId="0" borderId="13"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6" fillId="0" borderId="16" xfId="1" applyFont="1" applyBorder="1" applyAlignment="1">
      <alignment vertical="center"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5" fillId="0" borderId="1" xfId="1" applyFont="1" applyBorder="1" applyAlignment="1">
      <alignment vertical="top" shrinkToFit="1"/>
    </xf>
    <xf numFmtId="0" fontId="15" fillId="0" borderId="19" xfId="1" applyFont="1" applyBorder="1" applyAlignment="1">
      <alignment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horizontal="center"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4" fillId="0" borderId="27" xfId="1" applyFont="1" applyBorder="1" applyAlignment="1">
      <alignment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0" fontId="16" fillId="0" borderId="16" xfId="1" applyFont="1" applyBorder="1" applyAlignment="1">
      <alignment horizontal="center" vertical="top" shrinkToFit="1"/>
    </xf>
    <xf numFmtId="180" fontId="4" fillId="0" borderId="11"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178" fontId="4" fillId="0" borderId="11" xfId="1" applyNumberFormat="1" applyFont="1" applyBorder="1" applyAlignment="1">
      <alignment horizontal="center" vertical="top" shrinkToFit="1"/>
    </xf>
    <xf numFmtId="0" fontId="9" fillId="0" borderId="0" xfId="1" applyFont="1" applyBorder="1" applyAlignment="1">
      <alignment horizontal="left" shrinkToFit="1"/>
    </xf>
    <xf numFmtId="0" fontId="15" fillId="0" borderId="0" xfId="1" applyFont="1" applyAlignment="1">
      <alignment horizontal="right" vertical="center"/>
    </xf>
    <xf numFmtId="0" fontId="15" fillId="0" borderId="0" xfId="1" applyFont="1" applyAlignment="1">
      <alignment vertical="center" shrinkToFit="1"/>
    </xf>
    <xf numFmtId="0" fontId="15" fillId="0" borderId="12" xfId="1" applyFont="1" applyBorder="1" applyAlignment="1">
      <alignment vertical="center" shrinkToFit="1"/>
    </xf>
    <xf numFmtId="0" fontId="15" fillId="0" borderId="11" xfId="1" applyFont="1" applyBorder="1" applyAlignment="1">
      <alignment vertical="center" shrinkToFit="1"/>
    </xf>
    <xf numFmtId="0" fontId="15" fillId="0" borderId="10" xfId="1" applyFont="1" applyBorder="1" applyAlignment="1">
      <alignment vertical="center" shrinkToFit="1"/>
    </xf>
    <xf numFmtId="0" fontId="15" fillId="2" borderId="11" xfId="1" applyFont="1" applyFill="1" applyBorder="1" applyAlignment="1">
      <alignment vertical="center" shrinkToFit="1"/>
    </xf>
    <xf numFmtId="0" fontId="15" fillId="0" borderId="9" xfId="1" applyFont="1" applyBorder="1" applyAlignment="1">
      <alignment vertical="center" shrinkToFi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12" xfId="1" applyFont="1" applyBorder="1" applyAlignment="1">
      <alignment horizontal="center" vertical="center"/>
    </xf>
    <xf numFmtId="0" fontId="5" fillId="0" borderId="23" xfId="1" applyFont="1" applyBorder="1" applyAlignment="1">
      <alignment horizontal="center" vertical="center"/>
    </xf>
    <xf numFmtId="0" fontId="5" fillId="0" borderId="36" xfId="1" applyFont="1" applyBorder="1">
      <alignment vertical="center"/>
    </xf>
    <xf numFmtId="0" fontId="20" fillId="0" borderId="0" xfId="3" applyBorder="1" applyAlignment="1">
      <alignment vertical="center"/>
    </xf>
    <xf numFmtId="0" fontId="0" fillId="0" borderId="47" xfId="0" applyBorder="1" applyAlignment="1">
      <alignment horizontal="left" shrinkToFit="1"/>
    </xf>
    <xf numFmtId="0" fontId="15" fillId="2" borderId="9" xfId="1" applyFont="1" applyFill="1" applyBorder="1" applyAlignment="1">
      <alignment vertical="center" shrinkToFit="1"/>
    </xf>
    <xf numFmtId="0" fontId="0" fillId="0" borderId="44" xfId="0" applyBorder="1">
      <alignment vertical="center"/>
    </xf>
    <xf numFmtId="0" fontId="0" fillId="0" borderId="37" xfId="0" applyBorder="1">
      <alignment vertical="center"/>
    </xf>
    <xf numFmtId="0" fontId="0" fillId="0" borderId="40" xfId="0" applyBorder="1">
      <alignment vertical="center"/>
    </xf>
    <xf numFmtId="0" fontId="0" fillId="0" borderId="35" xfId="0" applyBorder="1">
      <alignment vertical="center"/>
    </xf>
    <xf numFmtId="0" fontId="15" fillId="0" borderId="13" xfId="1" applyFont="1" applyBorder="1" applyAlignment="1">
      <alignment horizontal="right" vertical="center"/>
    </xf>
    <xf numFmtId="0" fontId="15" fillId="0" borderId="14" xfId="1" applyFont="1" applyBorder="1" applyAlignment="1">
      <alignment horizontal="right" vertical="center"/>
    </xf>
    <xf numFmtId="0" fontId="15" fillId="0" borderId="15" xfId="1" applyFont="1" applyBorder="1" applyAlignment="1">
      <alignment horizontal="right" vertical="center"/>
    </xf>
    <xf numFmtId="181" fontId="15" fillId="0" borderId="15" xfId="1" applyNumberFormat="1" applyFont="1" applyBorder="1" applyAlignment="1">
      <alignment horizontal="right" vertical="center"/>
    </xf>
    <xf numFmtId="0" fontId="15" fillId="0" borderId="16" xfId="1" applyFont="1" applyBorder="1" applyAlignment="1">
      <alignment horizontal="right" vertical="center"/>
    </xf>
    <xf numFmtId="182" fontId="15" fillId="0" borderId="15" xfId="1" applyNumberFormat="1" applyFont="1" applyBorder="1" applyAlignment="1">
      <alignment horizontal="right" vertical="center"/>
    </xf>
    <xf numFmtId="0" fontId="6" fillId="0" borderId="20" xfId="1" applyFont="1" applyBorder="1" applyAlignment="1">
      <alignment vertical="center" shrinkToFit="1"/>
    </xf>
    <xf numFmtId="0" fontId="6" fillId="0" borderId="21" xfId="1" applyFont="1" applyBorder="1" applyAlignment="1">
      <alignment vertical="center" shrinkToFit="1"/>
    </xf>
    <xf numFmtId="0" fontId="6" fillId="0" borderId="22" xfId="1" applyFont="1" applyBorder="1" applyAlignment="1">
      <alignment vertical="center" shrinkToFit="1"/>
    </xf>
    <xf numFmtId="0" fontId="6" fillId="0" borderId="22" xfId="1" applyFont="1" applyBorder="1" applyAlignment="1">
      <alignment horizontal="right" vertical="center"/>
    </xf>
    <xf numFmtId="0" fontId="6" fillId="0" borderId="23" xfId="1" applyFont="1" applyBorder="1" applyAlignment="1">
      <alignment vertical="center" shrinkToFit="1"/>
    </xf>
    <xf numFmtId="0" fontId="5" fillId="0" borderId="47" xfId="1" applyFont="1" applyBorder="1" applyAlignment="1">
      <alignment horizontal="center" vertical="center"/>
    </xf>
    <xf numFmtId="0" fontId="15" fillId="0" borderId="17" xfId="1" applyFont="1" applyBorder="1" applyAlignment="1">
      <alignment vertical="center" shrinkToFit="1"/>
    </xf>
    <xf numFmtId="0" fontId="15" fillId="0" borderId="18" xfId="1" applyFont="1" applyBorder="1" applyAlignment="1">
      <alignment vertical="center" shrinkToFit="1"/>
    </xf>
    <xf numFmtId="0" fontId="15" fillId="0" borderId="1" xfId="1" applyFont="1" applyBorder="1" applyAlignment="1">
      <alignment vertical="center" shrinkToFit="1"/>
    </xf>
    <xf numFmtId="0" fontId="15" fillId="0" borderId="19" xfId="1" applyFont="1" applyBorder="1" applyAlignment="1">
      <alignment vertical="center" shrinkToFit="1"/>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36" xfId="1" applyFont="1" applyBorder="1" applyAlignment="1">
      <alignment horizontal="center" vertical="center"/>
    </xf>
    <xf numFmtId="0" fontId="15" fillId="0" borderId="24" xfId="1" applyFont="1" applyBorder="1" applyAlignment="1">
      <alignment vertical="center" shrinkToFit="1"/>
    </xf>
    <xf numFmtId="0" fontId="15" fillId="0" borderId="25" xfId="1" applyFont="1" applyBorder="1" applyAlignment="1">
      <alignment vertical="center" shrinkToFit="1"/>
    </xf>
    <xf numFmtId="0" fontId="15" fillId="0" borderId="26" xfId="1" applyFont="1" applyBorder="1" applyAlignment="1">
      <alignment vertical="center" shrinkToFit="1"/>
    </xf>
    <xf numFmtId="0" fontId="15" fillId="0" borderId="27" xfId="1" applyFont="1" applyBorder="1" applyAlignment="1">
      <alignment vertical="center" shrinkToFit="1"/>
    </xf>
    <xf numFmtId="0" fontId="15" fillId="0" borderId="20" xfId="1" applyFont="1" applyBorder="1" applyAlignment="1">
      <alignment horizontal="right" vertical="center"/>
    </xf>
    <xf numFmtId="0" fontId="15" fillId="0" borderId="21" xfId="1" applyFont="1" applyBorder="1" applyAlignment="1">
      <alignment horizontal="right" vertical="center"/>
    </xf>
    <xf numFmtId="181" fontId="15" fillId="0" borderId="22" xfId="1" applyNumberFormat="1" applyFont="1" applyBorder="1" applyAlignment="1">
      <alignment horizontal="right" vertical="center"/>
    </xf>
    <xf numFmtId="0" fontId="15" fillId="0" borderId="22" xfId="1" applyFont="1" applyBorder="1" applyAlignment="1">
      <alignment horizontal="right" vertical="center"/>
    </xf>
    <xf numFmtId="0" fontId="15" fillId="0" borderId="23" xfId="1" applyFont="1" applyBorder="1" applyAlignment="1">
      <alignment horizontal="right" vertical="center"/>
    </xf>
    <xf numFmtId="178" fontId="15" fillId="0" borderId="22" xfId="1" applyNumberFormat="1" applyFont="1" applyBorder="1" applyAlignment="1">
      <alignment horizontal="right" vertical="center"/>
    </xf>
    <xf numFmtId="178" fontId="15" fillId="0" borderId="15" xfId="1" applyNumberFormat="1" applyFont="1" applyBorder="1" applyAlignment="1">
      <alignment horizontal="right" vertical="center"/>
    </xf>
    <xf numFmtId="0" fontId="6" fillId="0" borderId="21" xfId="1" applyFont="1" applyBorder="1" applyAlignment="1">
      <alignment horizontal="right" vertical="center"/>
    </xf>
    <xf numFmtId="179" fontId="15" fillId="0" borderId="22" xfId="1" applyNumberFormat="1" applyFont="1" applyBorder="1" applyAlignment="1">
      <alignment horizontal="right" vertical="center"/>
    </xf>
    <xf numFmtId="179" fontId="15" fillId="0" borderId="15" xfId="1" applyNumberFormat="1" applyFont="1" applyBorder="1" applyAlignment="1">
      <alignment horizontal="right" vertical="center"/>
    </xf>
    <xf numFmtId="180" fontId="15" fillId="0" borderId="15" xfId="1" applyNumberFormat="1" applyFont="1" applyBorder="1" applyAlignment="1">
      <alignment horizontal="right" vertical="center"/>
    </xf>
    <xf numFmtId="180" fontId="15" fillId="0" borderId="22" xfId="1" applyNumberFormat="1" applyFont="1" applyBorder="1" applyAlignment="1">
      <alignment horizontal="right" vertical="center"/>
    </xf>
    <xf numFmtId="0" fontId="23" fillId="0" borderId="0" xfId="1" applyFont="1" applyFill="1" applyAlignment="1">
      <alignment horizontal="center" vertical="center"/>
    </xf>
    <xf numFmtId="0" fontId="23" fillId="0" borderId="0" xfId="1" applyFont="1" applyFill="1">
      <alignment vertical="center"/>
    </xf>
    <xf numFmtId="183" fontId="23" fillId="0" borderId="0" xfId="1" applyNumberFormat="1" applyFont="1" applyFill="1">
      <alignment vertical="center"/>
    </xf>
    <xf numFmtId="0" fontId="23" fillId="0" borderId="2" xfId="1" applyFont="1" applyFill="1" applyBorder="1" applyAlignment="1">
      <alignment vertical="center"/>
    </xf>
    <xf numFmtId="0" fontId="23" fillId="0" borderId="0" xfId="1" applyFont="1" applyFill="1" applyBorder="1" applyAlignment="1">
      <alignment horizontal="center" vertical="center" shrinkToFit="1"/>
    </xf>
    <xf numFmtId="0" fontId="31" fillId="7" borderId="54" xfId="1" applyFont="1" applyFill="1" applyBorder="1" applyAlignment="1">
      <alignment horizontal="left" vertical="center"/>
    </xf>
    <xf numFmtId="184" fontId="30" fillId="0" borderId="54" xfId="1" applyNumberFormat="1" applyFont="1" applyFill="1" applyBorder="1">
      <alignment vertical="center"/>
    </xf>
    <xf numFmtId="0" fontId="30" fillId="0" borderId="54" xfId="1" applyFont="1" applyFill="1" applyBorder="1">
      <alignment vertical="center"/>
    </xf>
    <xf numFmtId="0" fontId="30" fillId="0" borderId="54" xfId="1" applyFont="1" applyFill="1" applyBorder="1" applyAlignment="1">
      <alignment horizontal="left" vertical="top" shrinkToFit="1"/>
    </xf>
    <xf numFmtId="0" fontId="23" fillId="0" borderId="0" xfId="1" applyFont="1" applyFill="1" applyBorder="1" applyAlignment="1">
      <alignment horizontal="left" vertical="center"/>
    </xf>
    <xf numFmtId="0" fontId="30" fillId="0" borderId="11" xfId="1" applyFont="1" applyFill="1" applyBorder="1">
      <alignment vertical="center"/>
    </xf>
    <xf numFmtId="183" fontId="30" fillId="0" borderId="11" xfId="1" applyNumberFormat="1" applyFont="1" applyFill="1" applyBorder="1">
      <alignment vertical="center"/>
    </xf>
    <xf numFmtId="0" fontId="30" fillId="0" borderId="11" xfId="1" applyFont="1" applyFill="1" applyBorder="1" applyAlignment="1">
      <alignment horizontal="left" vertical="top" shrinkToFit="1"/>
    </xf>
    <xf numFmtId="0" fontId="23" fillId="0" borderId="0" xfId="1" applyFont="1" applyFill="1" applyBorder="1" applyAlignment="1">
      <alignment vertical="center"/>
    </xf>
    <xf numFmtId="0" fontId="30" fillId="8" borderId="11" xfId="1" applyFont="1" applyFill="1" applyBorder="1">
      <alignment vertical="center"/>
    </xf>
    <xf numFmtId="0" fontId="30" fillId="0" borderId="10" xfId="1" applyFont="1" applyFill="1" applyBorder="1">
      <alignment vertical="center"/>
    </xf>
    <xf numFmtId="183" fontId="30" fillId="0" borderId="10" xfId="1" applyNumberFormat="1" applyFont="1" applyFill="1" applyBorder="1">
      <alignment vertical="center"/>
    </xf>
    <xf numFmtId="0" fontId="30" fillId="0" borderId="10" xfId="1" applyFont="1" applyFill="1" applyBorder="1" applyAlignment="1">
      <alignment horizontal="left" vertical="top" shrinkToFit="1"/>
    </xf>
    <xf numFmtId="0" fontId="30" fillId="0" borderId="54" xfId="1" applyFont="1" applyFill="1" applyBorder="1" applyAlignment="1">
      <alignment horizontal="left" vertical="center"/>
    </xf>
    <xf numFmtId="0" fontId="23" fillId="0" borderId="0" xfId="1" applyFont="1" applyFill="1" applyBorder="1">
      <alignment vertical="center"/>
    </xf>
    <xf numFmtId="0" fontId="30" fillId="10" borderId="11" xfId="1" applyFont="1" applyFill="1" applyBorder="1">
      <alignment vertical="center"/>
    </xf>
    <xf numFmtId="0" fontId="30" fillId="11" borderId="54" xfId="1" applyFont="1" applyFill="1" applyBorder="1">
      <alignment vertical="center"/>
    </xf>
    <xf numFmtId="0" fontId="30" fillId="3" borderId="11" xfId="1" applyFont="1" applyFill="1" applyBorder="1">
      <alignment vertical="center"/>
    </xf>
    <xf numFmtId="0" fontId="23" fillId="12" borderId="55" xfId="1" applyFont="1" applyFill="1" applyBorder="1" applyAlignment="1">
      <alignment horizontal="center" vertical="center"/>
    </xf>
    <xf numFmtId="0" fontId="23" fillId="12" borderId="56" xfId="1" applyFont="1" applyFill="1" applyBorder="1">
      <alignment vertical="center"/>
    </xf>
    <xf numFmtId="183" fontId="23" fillId="12" borderId="56" xfId="1" applyNumberFormat="1" applyFont="1" applyFill="1" applyBorder="1">
      <alignment vertical="center"/>
    </xf>
    <xf numFmtId="0" fontId="23" fillId="12" borderId="57" xfId="1" applyFont="1" applyFill="1" applyBorder="1">
      <alignment vertical="center"/>
    </xf>
    <xf numFmtId="0" fontId="23" fillId="12" borderId="21" xfId="1" applyFont="1" applyFill="1" applyBorder="1" applyAlignment="1">
      <alignment horizontal="center" vertical="center"/>
    </xf>
    <xf numFmtId="0" fontId="23" fillId="12" borderId="38" xfId="1" applyFont="1" applyFill="1" applyBorder="1">
      <alignment vertical="center"/>
    </xf>
    <xf numFmtId="183" fontId="23" fillId="12" borderId="38" xfId="1" applyNumberFormat="1" applyFont="1" applyFill="1" applyBorder="1">
      <alignment vertical="center"/>
    </xf>
    <xf numFmtId="0" fontId="23" fillId="12" borderId="18" xfId="1" applyFont="1" applyFill="1" applyBorder="1">
      <alignment vertical="center"/>
    </xf>
    <xf numFmtId="0" fontId="30" fillId="3" borderId="54" xfId="1" applyFont="1" applyFill="1" applyBorder="1" applyAlignment="1">
      <alignment vertical="center" shrinkToFit="1"/>
    </xf>
    <xf numFmtId="0" fontId="30" fillId="0" borderId="54" xfId="1" applyFont="1" applyFill="1" applyBorder="1" applyAlignment="1">
      <alignment vertical="center" shrinkToFit="1"/>
    </xf>
    <xf numFmtId="0" fontId="30" fillId="3" borderId="54" xfId="1" applyFont="1" applyFill="1" applyBorder="1">
      <alignment vertical="center"/>
    </xf>
    <xf numFmtId="0" fontId="23" fillId="0" borderId="0" xfId="1" applyFont="1" applyFill="1" applyAlignment="1">
      <alignment horizontal="left" vertical="center"/>
    </xf>
    <xf numFmtId="0" fontId="30" fillId="0" borderId="56" xfId="4" applyFont="1" applyFill="1" applyBorder="1" applyAlignment="1">
      <alignment vertical="top" wrapText="1"/>
    </xf>
    <xf numFmtId="0" fontId="30" fillId="0" borderId="0" xfId="4" applyFont="1" applyFill="1" applyBorder="1" applyAlignment="1">
      <alignment vertical="center"/>
    </xf>
    <xf numFmtId="0" fontId="30" fillId="0" borderId="0" xfId="1" applyFont="1" applyFill="1" applyBorder="1" applyAlignment="1">
      <alignment vertical="center"/>
    </xf>
    <xf numFmtId="0" fontId="30" fillId="0" borderId="0" xfId="1" applyFont="1" applyFill="1" applyBorder="1">
      <alignment vertical="center"/>
    </xf>
    <xf numFmtId="0" fontId="31" fillId="0" borderId="0" xfId="1" applyFont="1" applyFill="1" applyBorder="1" applyAlignment="1">
      <alignment vertical="top" wrapText="1"/>
    </xf>
    <xf numFmtId="183" fontId="30" fillId="0" borderId="0" xfId="1" applyNumberFormat="1" applyFont="1" applyFill="1" applyBorder="1">
      <alignment vertical="center"/>
    </xf>
    <xf numFmtId="0" fontId="30" fillId="0" borderId="0" xfId="4" applyFont="1" applyFill="1" applyBorder="1" applyAlignment="1">
      <alignment vertical="top" wrapText="1"/>
    </xf>
    <xf numFmtId="0" fontId="30" fillId="0" borderId="0" xfId="1" applyFont="1" applyFill="1" applyBorder="1" applyAlignment="1">
      <alignment horizontal="left" vertical="top" shrinkToFit="1"/>
    </xf>
    <xf numFmtId="0" fontId="30" fillId="0" borderId="2" xfId="1" applyFont="1" applyFill="1" applyBorder="1" applyAlignment="1">
      <alignment horizontal="center" vertical="center" shrinkToFit="1"/>
    </xf>
    <xf numFmtId="0" fontId="30" fillId="0" borderId="52" xfId="1" applyFont="1" applyFill="1" applyBorder="1" applyAlignment="1">
      <alignment vertical="center"/>
    </xf>
    <xf numFmtId="0" fontId="30" fillId="0" borderId="31" xfId="1" applyFont="1" applyFill="1" applyBorder="1" applyAlignment="1">
      <alignment vertical="center"/>
    </xf>
    <xf numFmtId="0" fontId="30" fillId="0" borderId="0" xfId="1" applyFont="1" applyFill="1" applyBorder="1" applyAlignment="1">
      <alignment horizontal="left" vertical="center"/>
    </xf>
    <xf numFmtId="0" fontId="30" fillId="0" borderId="10"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52" xfId="1" applyFont="1" applyFill="1" applyBorder="1" applyAlignment="1">
      <alignment horizontal="center" vertical="center"/>
    </xf>
    <xf numFmtId="0" fontId="30" fillId="0" borderId="53" xfId="1" applyFont="1" applyFill="1" applyBorder="1">
      <alignment vertical="center"/>
    </xf>
    <xf numFmtId="184" fontId="30" fillId="0" borderId="2" xfId="1" applyNumberFormat="1" applyFont="1" applyFill="1" applyBorder="1" applyAlignment="1">
      <alignment horizontal="center" vertical="center"/>
    </xf>
    <xf numFmtId="183" fontId="30" fillId="0" borderId="2" xfId="1" applyNumberFormat="1" applyFont="1" applyFill="1" applyBorder="1" applyAlignment="1">
      <alignment horizontal="center" vertical="center"/>
    </xf>
    <xf numFmtId="183" fontId="23" fillId="0" borderId="2"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23" fillId="0" borderId="56" xfId="1" applyFont="1" applyFill="1" applyBorder="1" applyAlignment="1">
      <alignment horizontal="center" vertical="center"/>
    </xf>
    <xf numFmtId="0" fontId="23" fillId="0" borderId="56" xfId="1" applyFont="1" applyFill="1" applyBorder="1">
      <alignment vertical="center"/>
    </xf>
    <xf numFmtId="0" fontId="23" fillId="0" borderId="56" xfId="1" applyFont="1" applyFill="1" applyBorder="1" applyAlignment="1">
      <alignment horizontal="center" vertical="center" shrinkToFit="1"/>
    </xf>
    <xf numFmtId="184" fontId="23" fillId="0" borderId="56" xfId="1" applyNumberFormat="1" applyFont="1" applyFill="1" applyBorder="1" applyAlignment="1">
      <alignment horizontal="center" vertical="center"/>
    </xf>
    <xf numFmtId="183" fontId="23" fillId="0" borderId="56" xfId="1" applyNumberFormat="1" applyFont="1" applyFill="1" applyBorder="1" applyAlignment="1">
      <alignment horizontal="center" vertical="center"/>
    </xf>
    <xf numFmtId="183" fontId="23" fillId="0" borderId="0" xfId="1" applyNumberFormat="1" applyFont="1" applyFill="1" applyBorder="1">
      <alignment vertical="center"/>
    </xf>
    <xf numFmtId="0" fontId="30" fillId="0" borderId="0" xfId="1" applyFont="1" applyFill="1" applyBorder="1" applyAlignment="1">
      <alignment horizontal="center" vertical="center"/>
    </xf>
    <xf numFmtId="0" fontId="30" fillId="0" borderId="0" xfId="1" applyFont="1" applyFill="1" applyBorder="1" applyAlignment="1">
      <alignment horizontal="left" vertical="top"/>
    </xf>
    <xf numFmtId="0" fontId="23" fillId="0" borderId="0" xfId="1" applyFont="1" applyFill="1" applyBorder="1" applyAlignment="1">
      <alignment vertical="center" wrapText="1"/>
    </xf>
    <xf numFmtId="0" fontId="23" fillId="0" borderId="0" xfId="1" applyFont="1" applyFill="1" applyBorder="1" applyAlignment="1">
      <alignment vertical="top" wrapText="1"/>
    </xf>
    <xf numFmtId="0" fontId="23" fillId="0" borderId="0" xfId="1" applyFont="1" applyFill="1" applyBorder="1" applyAlignment="1">
      <alignment horizontal="left" vertical="top" wrapText="1"/>
    </xf>
    <xf numFmtId="0" fontId="23" fillId="0" borderId="0" xfId="1" applyFont="1" applyFill="1" applyAlignment="1">
      <alignment horizontal="center" vertical="center" textRotation="255"/>
    </xf>
    <xf numFmtId="0" fontId="1" fillId="0" borderId="60" xfId="1" applyFill="1" applyBorder="1" applyAlignment="1">
      <alignment horizontal="center" vertical="center"/>
    </xf>
    <xf numFmtId="0" fontId="1" fillId="0" borderId="32" xfId="1" applyFill="1" applyBorder="1" applyAlignment="1">
      <alignment horizontal="center" vertical="center"/>
    </xf>
    <xf numFmtId="0" fontId="23" fillId="0" borderId="11" xfId="1" applyFont="1" applyFill="1" applyBorder="1" applyAlignment="1">
      <alignment horizontal="left" vertical="center" shrinkToFit="1"/>
    </xf>
    <xf numFmtId="0" fontId="23" fillId="0" borderId="10" xfId="1" applyFont="1" applyFill="1" applyBorder="1" applyAlignment="1">
      <alignment horizontal="left" vertical="center" shrinkToFit="1"/>
    </xf>
    <xf numFmtId="0" fontId="23" fillId="0" borderId="54" xfId="1" applyFont="1" applyFill="1" applyBorder="1" applyAlignment="1">
      <alignment horizontal="left" vertical="center" shrinkToFit="1"/>
    </xf>
    <xf numFmtId="0" fontId="23" fillId="0" borderId="12" xfId="1" applyFont="1" applyFill="1" applyBorder="1" applyAlignment="1">
      <alignment horizontal="left" vertical="center" shrinkToFit="1"/>
    </xf>
    <xf numFmtId="0" fontId="23" fillId="0" borderId="0" xfId="1" applyFont="1" applyFill="1" applyBorder="1" applyAlignment="1">
      <alignment horizontal="left" vertical="center" shrinkToFit="1"/>
    </xf>
    <xf numFmtId="0" fontId="30" fillId="0" borderId="0" xfId="1" applyFont="1" applyFill="1" applyBorder="1" applyAlignment="1">
      <alignment horizontal="left" vertical="center" shrinkToFit="1"/>
    </xf>
    <xf numFmtId="0" fontId="30" fillId="0" borderId="2" xfId="1" applyFont="1" applyFill="1" applyBorder="1" applyAlignment="1">
      <alignment horizontal="center" vertical="center"/>
    </xf>
    <xf numFmtId="183" fontId="30" fillId="0" borderId="2" xfId="1" applyNumberFormat="1" applyFont="1" applyFill="1" applyBorder="1" applyAlignment="1">
      <alignment horizontal="center" vertical="center"/>
    </xf>
    <xf numFmtId="0" fontId="30" fillId="9" borderId="2" xfId="1" applyFont="1" applyFill="1" applyBorder="1" applyAlignment="1">
      <alignment horizontal="center" vertical="center" wrapText="1"/>
    </xf>
    <xf numFmtId="0" fontId="30" fillId="9" borderId="2" xfId="1" applyFont="1" applyFill="1" applyBorder="1" applyAlignment="1">
      <alignment vertical="center"/>
    </xf>
    <xf numFmtId="0" fontId="30" fillId="9" borderId="2" xfId="1" applyFont="1" applyFill="1" applyBorder="1" applyAlignment="1">
      <alignment horizontal="center" vertical="center" textRotation="255" shrinkToFit="1"/>
    </xf>
    <xf numFmtId="0" fontId="31" fillId="0" borderId="54" xfId="1" applyFont="1" applyFill="1" applyBorder="1" applyAlignment="1">
      <alignment horizontal="left" vertical="top" wrapText="1"/>
    </xf>
    <xf numFmtId="0" fontId="31" fillId="0" borderId="11" xfId="1" applyFont="1" applyFill="1" applyBorder="1" applyAlignment="1">
      <alignment horizontal="left" vertical="top" wrapText="1"/>
    </xf>
    <xf numFmtId="0" fontId="31" fillId="0" borderId="10" xfId="1" applyFont="1" applyFill="1" applyBorder="1" applyAlignment="1">
      <alignment horizontal="left" vertical="top" wrapText="1"/>
    </xf>
    <xf numFmtId="0" fontId="30" fillId="0" borderId="54" xfId="4" applyFont="1" applyFill="1" applyBorder="1" applyAlignment="1">
      <alignment horizontal="left" vertical="top" wrapText="1"/>
    </xf>
    <xf numFmtId="0" fontId="30" fillId="0" borderId="11" xfId="4" applyFont="1" applyFill="1" applyBorder="1" applyAlignment="1">
      <alignment horizontal="left" vertical="top" wrapText="1"/>
    </xf>
    <xf numFmtId="0" fontId="30" fillId="0" borderId="10" xfId="4" applyFont="1" applyFill="1" applyBorder="1" applyAlignment="1">
      <alignment horizontal="left" vertical="top" wrapText="1"/>
    </xf>
    <xf numFmtId="0" fontId="30" fillId="0" borderId="2" xfId="1" applyFont="1" applyFill="1" applyBorder="1" applyAlignment="1">
      <alignment horizontal="center" vertical="center" wrapText="1"/>
    </xf>
    <xf numFmtId="0" fontId="31" fillId="0" borderId="2" xfId="1" applyFont="1" applyFill="1" applyBorder="1" applyAlignment="1">
      <alignment horizontal="left" vertical="top" wrapText="1"/>
    </xf>
    <xf numFmtId="0" fontId="30" fillId="0" borderId="2" xfId="1" applyFont="1" applyFill="1" applyBorder="1" applyAlignment="1">
      <alignment vertical="center"/>
    </xf>
    <xf numFmtId="0" fontId="30" fillId="0" borderId="2" xfId="1" applyFont="1" applyFill="1" applyBorder="1" applyAlignment="1">
      <alignment horizontal="center" vertical="center" textRotation="255" shrinkToFit="1"/>
    </xf>
    <xf numFmtId="0" fontId="30" fillId="0" borderId="2" xfId="1" applyFont="1" applyFill="1" applyBorder="1" applyAlignment="1">
      <alignment vertical="center" wrapText="1"/>
    </xf>
    <xf numFmtId="0" fontId="30" fillId="9" borderId="2" xfId="1" applyFont="1" applyFill="1" applyBorder="1" applyAlignment="1">
      <alignment vertical="center" wrapText="1"/>
    </xf>
    <xf numFmtId="0" fontId="7" fillId="0" borderId="2" xfId="1" applyFont="1" applyFill="1" applyBorder="1" applyAlignment="1">
      <alignment horizontal="left" vertical="top" wrapText="1"/>
    </xf>
    <xf numFmtId="0" fontId="23" fillId="4" borderId="2" xfId="1" applyFont="1" applyFill="1" applyBorder="1" applyAlignment="1">
      <alignment horizontal="center" wrapText="1" shrinkToFit="1"/>
    </xf>
    <xf numFmtId="0" fontId="23" fillId="5" borderId="2" xfId="1" applyFont="1" applyFill="1" applyBorder="1" applyAlignment="1">
      <alignment horizontal="center" wrapText="1" shrinkToFit="1"/>
    </xf>
    <xf numFmtId="0" fontId="23" fillId="6" borderId="2" xfId="1" applyFont="1" applyFill="1" applyBorder="1" applyAlignment="1">
      <alignment horizontal="center" wrapText="1" shrinkToFit="1"/>
    </xf>
    <xf numFmtId="0" fontId="28" fillId="0" borderId="22"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3" fillId="0" borderId="11" xfId="4" applyFont="1" applyBorder="1" applyAlignment="1">
      <alignment horizontal="center" wrapText="1" shrinkToFit="1"/>
    </xf>
    <xf numFmtId="0" fontId="23" fillId="0" borderId="10" xfId="4" applyFont="1" applyBorder="1" applyAlignment="1">
      <alignment horizontal="center" wrapText="1" shrinkToFit="1"/>
    </xf>
    <xf numFmtId="0" fontId="23" fillId="0" borderId="54" xfId="1" applyFont="1" applyFill="1" applyBorder="1" applyAlignment="1">
      <alignment horizontal="center" vertical="center" shrinkToFit="1"/>
    </xf>
    <xf numFmtId="0" fontId="23" fillId="0" borderId="11" xfId="1" applyFont="1" applyFill="1" applyBorder="1" applyAlignment="1">
      <alignment horizontal="center" vertical="center" shrinkToFit="1"/>
    </xf>
    <xf numFmtId="0" fontId="23" fillId="0" borderId="10" xfId="1" applyFont="1" applyFill="1" applyBorder="1" applyAlignment="1">
      <alignment horizontal="center" vertical="center" shrinkToFit="1"/>
    </xf>
    <xf numFmtId="0" fontId="25" fillId="0" borderId="2" xfId="1" applyFont="1" applyFill="1" applyBorder="1" applyAlignment="1">
      <alignment horizontal="center" vertical="center" textRotation="255"/>
    </xf>
    <xf numFmtId="0" fontId="26" fillId="0" borderId="2" xfId="1" applyFont="1" applyFill="1" applyBorder="1" applyAlignment="1">
      <alignment horizontal="left" vertical="center"/>
    </xf>
    <xf numFmtId="0" fontId="23" fillId="0" borderId="2" xfId="1" applyFont="1" applyFill="1" applyBorder="1" applyAlignment="1">
      <alignment horizontal="center" vertical="center"/>
    </xf>
    <xf numFmtId="0" fontId="27" fillId="0" borderId="52" xfId="1" applyFont="1" applyFill="1" applyBorder="1" applyAlignment="1">
      <alignment horizontal="center" vertical="center" wrapText="1"/>
    </xf>
    <xf numFmtId="0" fontId="27" fillId="0" borderId="31" xfId="1" applyFont="1" applyFill="1" applyBorder="1" applyAlignment="1">
      <alignment horizontal="center" vertical="center" wrapText="1"/>
    </xf>
    <xf numFmtId="0" fontId="27" fillId="0" borderId="53" xfId="1" applyFont="1" applyFill="1" applyBorder="1" applyAlignment="1">
      <alignment horizontal="center" vertical="center" wrapText="1"/>
    </xf>
    <xf numFmtId="0" fontId="24" fillId="3" borderId="2" xfId="1" applyFont="1" applyFill="1" applyBorder="1" applyAlignment="1">
      <alignment horizontal="center" vertical="center" textRotation="255" shrinkToFit="1"/>
    </xf>
    <xf numFmtId="0" fontId="23" fillId="4" borderId="54" xfId="1" applyFont="1" applyFill="1" applyBorder="1" applyAlignment="1">
      <alignment horizontal="center" wrapText="1" shrinkToFit="1"/>
    </xf>
    <xf numFmtId="0" fontId="23" fillId="4" borderId="11" xfId="1" applyFont="1" applyFill="1" applyBorder="1" applyAlignment="1">
      <alignment horizontal="center" wrapText="1" shrinkToFit="1"/>
    </xf>
    <xf numFmtId="0" fontId="23" fillId="4" borderId="10" xfId="1" applyFont="1" applyFill="1" applyBorder="1" applyAlignment="1">
      <alignment horizontal="center" wrapText="1" shrinkToFit="1"/>
    </xf>
    <xf numFmtId="0" fontId="23" fillId="5" borderId="54" xfId="1" applyFont="1" applyFill="1" applyBorder="1" applyAlignment="1">
      <alignment horizontal="center" wrapText="1" shrinkToFit="1"/>
    </xf>
    <xf numFmtId="0" fontId="23" fillId="5" borderId="11" xfId="1" applyFont="1" applyFill="1" applyBorder="1" applyAlignment="1">
      <alignment horizontal="center" wrapText="1" shrinkToFit="1"/>
    </xf>
    <xf numFmtId="0" fontId="23" fillId="5" borderId="10" xfId="1" applyFont="1" applyFill="1" applyBorder="1" applyAlignment="1">
      <alignment horizontal="center" wrapText="1" shrinkToFit="1"/>
    </xf>
    <xf numFmtId="0" fontId="23" fillId="6" borderId="54" xfId="1" applyFont="1" applyFill="1" applyBorder="1" applyAlignment="1">
      <alignment horizontal="center" wrapText="1" shrinkToFit="1"/>
    </xf>
    <xf numFmtId="0" fontId="23" fillId="6" borderId="11" xfId="1" applyFont="1" applyFill="1" applyBorder="1" applyAlignment="1">
      <alignment horizontal="center" wrapText="1" shrinkToFit="1"/>
    </xf>
    <xf numFmtId="0" fontId="23" fillId="6" borderId="10" xfId="1" applyFont="1" applyFill="1" applyBorder="1" applyAlignment="1">
      <alignment horizontal="center" wrapText="1" shrinkToFit="1"/>
    </xf>
    <xf numFmtId="0" fontId="23" fillId="0" borderId="52" xfId="1" applyFont="1" applyFill="1" applyBorder="1" applyAlignment="1">
      <alignment horizontal="center" vertical="center"/>
    </xf>
    <xf numFmtId="0" fontId="23" fillId="0" borderId="31" xfId="1" applyFont="1" applyFill="1" applyBorder="1" applyAlignment="1">
      <alignment horizontal="center" vertical="center"/>
    </xf>
    <xf numFmtId="0" fontId="23" fillId="0" borderId="53" xfId="1" applyFont="1" applyFill="1" applyBorder="1" applyAlignment="1">
      <alignment horizontal="center" vertical="center"/>
    </xf>
    <xf numFmtId="0" fontId="27" fillId="0" borderId="68" xfId="1" applyFont="1" applyFill="1" applyBorder="1" applyAlignment="1">
      <alignment horizontal="left" vertical="top" wrapText="1" shrinkToFit="1"/>
    </xf>
    <xf numFmtId="0" fontId="36" fillId="0" borderId="15" xfId="0" applyFont="1" applyFill="1" applyBorder="1" applyAlignment="1">
      <alignment horizontal="left" vertical="top" wrapText="1" shrinkToFit="1"/>
    </xf>
    <xf numFmtId="0" fontId="23" fillId="0" borderId="71" xfId="1" applyFont="1" applyFill="1" applyBorder="1" applyAlignment="1">
      <alignment horizontal="center" vertical="center" wrapText="1"/>
    </xf>
    <xf numFmtId="0" fontId="23" fillId="0" borderId="26"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72" xfId="1" applyFont="1" applyFill="1" applyBorder="1" applyAlignment="1">
      <alignment horizontal="center" vertical="center"/>
    </xf>
    <xf numFmtId="0" fontId="23" fillId="0" borderId="64" xfId="1" applyFont="1" applyFill="1" applyBorder="1" applyAlignment="1">
      <alignment horizontal="center" vertical="center"/>
    </xf>
    <xf numFmtId="0" fontId="23" fillId="0" borderId="66" xfId="1" applyFont="1" applyFill="1" applyBorder="1" applyAlignment="1">
      <alignment horizontal="center" vertical="center"/>
    </xf>
    <xf numFmtId="0" fontId="33" fillId="0" borderId="54" xfId="1"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0" xfId="0" applyFont="1" applyFill="1" applyBorder="1" applyAlignment="1">
      <alignment horizontal="left" vertical="top" wrapText="1"/>
    </xf>
    <xf numFmtId="0" fontId="31" fillId="0" borderId="68" xfId="1" applyFont="1" applyFill="1" applyBorder="1" applyAlignment="1">
      <alignment horizontal="left" vertical="top" wrapText="1"/>
    </xf>
    <xf numFmtId="0" fontId="35" fillId="0" borderId="15" xfId="0" applyFont="1" applyFill="1" applyBorder="1" applyAlignment="1">
      <alignment horizontal="left" vertical="top" wrapText="1"/>
    </xf>
    <xf numFmtId="0" fontId="35" fillId="0" borderId="14" xfId="0" applyFont="1" applyFill="1" applyBorder="1" applyAlignment="1">
      <alignment horizontal="left" vertical="top" wrapText="1"/>
    </xf>
    <xf numFmtId="0" fontId="23" fillId="0" borderId="63" xfId="1" applyFont="1" applyFill="1" applyBorder="1" applyAlignment="1">
      <alignment horizontal="center" vertical="center"/>
    </xf>
    <xf numFmtId="0" fontId="23" fillId="0" borderId="65" xfId="1" applyFont="1" applyFill="1" applyBorder="1" applyAlignment="1">
      <alignment vertical="center"/>
    </xf>
    <xf numFmtId="0" fontId="23" fillId="0" borderId="74" xfId="1" applyFont="1" applyFill="1" applyBorder="1" applyAlignment="1">
      <alignment vertical="center"/>
    </xf>
    <xf numFmtId="0" fontId="23" fillId="0" borderId="0" xfId="1" applyFont="1" applyFill="1" applyBorder="1" applyAlignment="1">
      <alignment horizontal="center" vertical="center"/>
    </xf>
    <xf numFmtId="0" fontId="27" fillId="0" borderId="0" xfId="1" applyFont="1" applyFill="1" applyBorder="1" applyAlignment="1">
      <alignment horizontal="left" vertical="top" wrapText="1" shrinkToFit="1"/>
    </xf>
    <xf numFmtId="0" fontId="36" fillId="0" borderId="0" xfId="0" applyFont="1" applyFill="1" applyBorder="1" applyAlignment="1">
      <alignment horizontal="left" vertical="top" wrapText="1" shrinkToFit="1"/>
    </xf>
    <xf numFmtId="0" fontId="23" fillId="0" borderId="62" xfId="1" applyFont="1" applyFill="1" applyBorder="1" applyAlignment="1">
      <alignment horizontal="center" vertical="center"/>
    </xf>
    <xf numFmtId="0" fontId="23" fillId="0" borderId="75" xfId="1" applyFont="1" applyFill="1" applyBorder="1" applyAlignment="1">
      <alignment horizontal="center" vertical="center"/>
    </xf>
    <xf numFmtId="0" fontId="33" fillId="0" borderId="54" xfId="1" applyFont="1" applyFill="1" applyBorder="1" applyAlignment="1">
      <alignment horizontal="left" vertical="top" wrapText="1" shrinkToFit="1"/>
    </xf>
    <xf numFmtId="0" fontId="34" fillId="0" borderId="11" xfId="0" applyFont="1" applyFill="1" applyBorder="1" applyAlignment="1">
      <alignment horizontal="left" vertical="top" wrapText="1" shrinkToFit="1"/>
    </xf>
    <xf numFmtId="0" fontId="34" fillId="0" borderId="12" xfId="0" applyFont="1" applyFill="1" applyBorder="1" applyAlignment="1">
      <alignment horizontal="left" vertical="top" wrapText="1" shrinkToFit="1"/>
    </xf>
    <xf numFmtId="0" fontId="36" fillId="0" borderId="16" xfId="0" applyFont="1" applyFill="1" applyBorder="1" applyAlignment="1">
      <alignment horizontal="left" vertical="top" wrapText="1" shrinkToFit="1"/>
    </xf>
    <xf numFmtId="0" fontId="23" fillId="0" borderId="26" xfId="1" applyFont="1" applyFill="1" applyBorder="1" applyAlignment="1">
      <alignment horizontal="center" vertical="center" wrapText="1"/>
    </xf>
    <xf numFmtId="0" fontId="23" fillId="0" borderId="27" xfId="1" applyFont="1" applyFill="1" applyBorder="1" applyAlignment="1">
      <alignment horizontal="center" vertical="center"/>
    </xf>
    <xf numFmtId="0" fontId="34" fillId="0" borderId="12" xfId="0" applyFont="1" applyFill="1" applyBorder="1" applyAlignment="1">
      <alignment horizontal="left" vertical="top" wrapText="1"/>
    </xf>
    <xf numFmtId="0" fontId="35" fillId="0" borderId="16" xfId="0" applyFont="1" applyFill="1" applyBorder="1" applyAlignment="1">
      <alignment horizontal="left" vertical="top" wrapText="1"/>
    </xf>
    <xf numFmtId="0" fontId="23" fillId="0" borderId="0" xfId="1" applyFont="1" applyFill="1" applyBorder="1" applyAlignment="1">
      <alignment vertical="center"/>
    </xf>
    <xf numFmtId="0" fontId="23" fillId="0" borderId="69" xfId="1" applyFont="1" applyFill="1" applyBorder="1" applyAlignment="1">
      <alignment horizontal="center" vertical="center"/>
    </xf>
    <xf numFmtId="0" fontId="23" fillId="0" borderId="73" xfId="1" applyFont="1" applyFill="1" applyBorder="1" applyAlignment="1">
      <alignment horizontal="center" vertical="center"/>
    </xf>
    <xf numFmtId="0" fontId="23" fillId="0" borderId="70" xfId="1" applyFont="1" applyFill="1" applyBorder="1" applyAlignment="1">
      <alignment vertical="center"/>
    </xf>
    <xf numFmtId="0" fontId="36" fillId="0" borderId="14" xfId="0" applyFont="1" applyFill="1" applyBorder="1" applyAlignment="1">
      <alignment horizontal="left" vertical="top" wrapText="1" shrinkToFit="1"/>
    </xf>
    <xf numFmtId="0" fontId="23" fillId="0" borderId="71" xfId="1" applyFont="1" applyFill="1" applyBorder="1" applyAlignment="1">
      <alignment horizontal="center" vertical="center"/>
    </xf>
    <xf numFmtId="0" fontId="34" fillId="0" borderId="10" xfId="0" applyFont="1" applyFill="1" applyBorder="1" applyAlignment="1">
      <alignment horizontal="left" vertical="top" wrapText="1" shrinkToFit="1"/>
    </xf>
    <xf numFmtId="0" fontId="23" fillId="0" borderId="67" xfId="1" applyFont="1" applyFill="1" applyBorder="1" applyAlignment="1">
      <alignment vertical="center"/>
    </xf>
    <xf numFmtId="0" fontId="27" fillId="0" borderId="54" xfId="1" applyFont="1" applyFill="1" applyBorder="1" applyAlignment="1">
      <alignment horizontal="left" vertical="top" wrapText="1"/>
    </xf>
    <xf numFmtId="0" fontId="36" fillId="0" borderId="11" xfId="0" applyFont="1" applyFill="1" applyBorder="1" applyAlignment="1">
      <alignment horizontal="left" vertical="top" wrapText="1"/>
    </xf>
    <xf numFmtId="0" fontId="36" fillId="0" borderId="10" xfId="0" applyFont="1" applyFill="1" applyBorder="1" applyAlignment="1">
      <alignment horizontal="left" vertical="top" wrapText="1"/>
    </xf>
    <xf numFmtId="0" fontId="27" fillId="0" borderId="54" xfId="1" applyFont="1" applyFill="1" applyBorder="1" applyAlignment="1">
      <alignment horizontal="left" vertical="top" wrapText="1" shrinkToFit="1"/>
    </xf>
    <xf numFmtId="0" fontId="36" fillId="0" borderId="11" xfId="0" applyFont="1" applyFill="1" applyBorder="1" applyAlignment="1">
      <alignment horizontal="left" vertical="top" wrapText="1" shrinkToFit="1"/>
    </xf>
    <xf numFmtId="0" fontId="36" fillId="0" borderId="10" xfId="0" applyFont="1" applyFill="1" applyBorder="1" applyAlignment="1">
      <alignment horizontal="left" vertical="top" wrapText="1" shrinkToFit="1"/>
    </xf>
    <xf numFmtId="0" fontId="23" fillId="0" borderId="58" xfId="1" applyFont="1" applyFill="1" applyBorder="1" applyAlignment="1">
      <alignment horizontal="center" vertical="center" textRotation="255"/>
    </xf>
    <xf numFmtId="0" fontId="23" fillId="0" borderId="2" xfId="1" applyFont="1" applyFill="1" applyBorder="1" applyAlignment="1">
      <alignment horizontal="center" vertical="center" textRotation="255"/>
    </xf>
    <xf numFmtId="0" fontId="23" fillId="0" borderId="60" xfId="1" applyFont="1" applyFill="1" applyBorder="1" applyAlignment="1">
      <alignment horizontal="center" vertical="center" textRotation="255"/>
    </xf>
    <xf numFmtId="0" fontId="23" fillId="0" borderId="20" xfId="1" applyFont="1" applyFill="1" applyBorder="1" applyAlignment="1">
      <alignment horizontal="center" vertical="center" shrinkToFit="1"/>
    </xf>
    <xf numFmtId="0" fontId="23" fillId="0" borderId="45" xfId="1" applyFont="1" applyFill="1" applyBorder="1" applyAlignment="1">
      <alignment horizontal="center" vertical="center" shrinkToFit="1"/>
    </xf>
    <xf numFmtId="0" fontId="23" fillId="0" borderId="22"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21" xfId="1" applyFont="1" applyFill="1" applyBorder="1" applyAlignment="1">
      <alignment horizontal="center" vertical="center" shrinkToFit="1"/>
    </xf>
    <xf numFmtId="0" fontId="23" fillId="0" borderId="38" xfId="1" applyFont="1" applyFill="1" applyBorder="1" applyAlignment="1">
      <alignment horizontal="center" vertical="center" shrinkToFit="1"/>
    </xf>
    <xf numFmtId="0" fontId="23" fillId="0" borderId="44" xfId="1" applyFont="1" applyFill="1" applyBorder="1" applyAlignment="1">
      <alignment horizontal="center" vertical="center" shrinkToFit="1"/>
    </xf>
    <xf numFmtId="0" fontId="23" fillId="0" borderId="40" xfId="1" applyFont="1" applyFill="1" applyBorder="1" applyAlignment="1">
      <alignment horizontal="center" vertical="center" shrinkToFit="1"/>
    </xf>
    <xf numFmtId="0" fontId="23" fillId="0" borderId="37" xfId="1" applyFont="1" applyFill="1" applyBorder="1" applyAlignment="1">
      <alignment horizontal="center" vertical="center" shrinkToFit="1"/>
    </xf>
    <xf numFmtId="0" fontId="23" fillId="0" borderId="26" xfId="1" applyFont="1" applyFill="1" applyBorder="1" applyAlignment="1">
      <alignment vertical="center"/>
    </xf>
    <xf numFmtId="0" fontId="23" fillId="0" borderId="25" xfId="1" applyFont="1" applyFill="1" applyBorder="1" applyAlignment="1">
      <alignment vertical="center"/>
    </xf>
    <xf numFmtId="0" fontId="33" fillId="0" borderId="11" xfId="1" applyFont="1" applyFill="1" applyBorder="1" applyAlignment="1">
      <alignment horizontal="left" vertical="top" wrapText="1"/>
    </xf>
    <xf numFmtId="0" fontId="31" fillId="0" borderId="15" xfId="1" applyFont="1" applyFill="1" applyBorder="1" applyAlignment="1">
      <alignment horizontal="left" vertical="top" wrapText="1"/>
    </xf>
    <xf numFmtId="0" fontId="32" fillId="0" borderId="48" xfId="1" applyFont="1" applyFill="1" applyBorder="1" applyAlignment="1">
      <alignment horizontal="center" vertical="center" textRotation="255" shrinkToFit="1"/>
    </xf>
    <xf numFmtId="0" fontId="32" fillId="0" borderId="50" xfId="1" applyFont="1" applyFill="1" applyBorder="1" applyAlignment="1">
      <alignment horizontal="center" vertical="center" textRotation="255" shrinkToFit="1"/>
    </xf>
    <xf numFmtId="0" fontId="32" fillId="0" borderId="36" xfId="1" applyFont="1" applyFill="1" applyBorder="1" applyAlignment="1">
      <alignment horizontal="center" vertical="center" textRotation="255" shrinkToFit="1"/>
    </xf>
    <xf numFmtId="0" fontId="23" fillId="0" borderId="20" xfId="1" applyFont="1" applyFill="1" applyBorder="1" applyAlignment="1">
      <alignment horizontal="center" vertical="center"/>
    </xf>
    <xf numFmtId="0" fontId="23" fillId="0" borderId="45"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22"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1" fillId="0" borderId="40" xfId="1"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32" fillId="0" borderId="59" xfId="1" applyFont="1" applyFill="1" applyBorder="1" applyAlignment="1">
      <alignment horizontal="center" vertical="center" textRotation="255" shrinkToFit="1"/>
    </xf>
    <xf numFmtId="0" fontId="32" fillId="0" borderId="53" xfId="1" applyFont="1" applyFill="1" applyBorder="1" applyAlignment="1">
      <alignment horizontal="center" vertical="center" textRotation="255" shrinkToFit="1"/>
    </xf>
    <xf numFmtId="0" fontId="32" fillId="0" borderId="61" xfId="1" applyFont="1" applyFill="1" applyBorder="1" applyAlignment="1">
      <alignment horizontal="center" vertical="center" textRotation="255" shrinkToFit="1"/>
    </xf>
    <xf numFmtId="0" fontId="33" fillId="0" borderId="11" xfId="1" applyFont="1" applyFill="1" applyBorder="1" applyAlignment="1">
      <alignment horizontal="left" vertical="top" wrapText="1" shrinkToFit="1"/>
    </xf>
    <xf numFmtId="0" fontId="27" fillId="0" borderId="15" xfId="1" applyFont="1" applyFill="1" applyBorder="1" applyAlignment="1">
      <alignment horizontal="left" vertical="top" wrapText="1"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4"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47" xfId="1" applyNumberFormat="1" applyFont="1" applyBorder="1" applyAlignment="1">
      <alignment horizontal="left" shrinkToFit="1"/>
    </xf>
    <xf numFmtId="0" fontId="0" fillId="0" borderId="47" xfId="0" applyBorder="1" applyAlignment="1">
      <alignment horizontal="left" shrinkToFit="1"/>
    </xf>
    <xf numFmtId="0" fontId="5" fillId="0" borderId="43" xfId="1" applyFont="1" applyBorder="1" applyAlignment="1">
      <alignment horizontal="center" vertical="center"/>
    </xf>
    <xf numFmtId="0" fontId="0" fillId="0" borderId="42" xfId="0" applyBorder="1" applyAlignment="1">
      <alignment vertical="center"/>
    </xf>
    <xf numFmtId="0" fontId="0" fillId="0" borderId="41" xfId="0" applyBorder="1" applyAlignment="1">
      <alignment vertical="center"/>
    </xf>
    <xf numFmtId="0" fontId="22" fillId="0" borderId="44" xfId="0" applyFont="1" applyBorder="1" applyAlignment="1">
      <alignment horizontal="center" vertical="center"/>
    </xf>
    <xf numFmtId="0" fontId="22" fillId="0" borderId="40" xfId="0" applyFont="1" applyBorder="1" applyAlignment="1">
      <alignment horizontal="center" vertical="center"/>
    </xf>
    <xf numFmtId="0" fontId="22" fillId="0" borderId="35" xfId="0" applyFont="1" applyBorder="1" applyAlignment="1">
      <alignment horizontal="center" vertical="center"/>
    </xf>
    <xf numFmtId="0" fontId="5" fillId="0" borderId="31" xfId="1" applyFont="1" applyBorder="1" applyAlignment="1">
      <alignment horizontal="center" vertical="center"/>
    </xf>
    <xf numFmtId="0" fontId="0" fillId="0" borderId="31" xfId="0" applyBorder="1" applyAlignment="1">
      <alignment vertical="center"/>
    </xf>
    <xf numFmtId="0" fontId="5" fillId="0" borderId="39" xfId="1" applyFont="1" applyBorder="1" applyAlignment="1">
      <alignment horizontal="center" vertical="center"/>
    </xf>
    <xf numFmtId="0" fontId="0" fillId="0" borderId="38" xfId="0" applyBorder="1" applyAlignment="1">
      <alignment vertical="center"/>
    </xf>
    <xf numFmtId="0" fontId="0" fillId="0" borderId="37" xfId="0" applyBorder="1" applyAlignment="1">
      <alignment vertical="center"/>
    </xf>
    <xf numFmtId="0" fontId="5" fillId="0" borderId="45" xfId="1" applyFont="1" applyBorder="1" applyAlignment="1">
      <alignment horizontal="center" vertical="center"/>
    </xf>
    <xf numFmtId="0" fontId="0" fillId="0" borderId="45" xfId="0" applyBorder="1" applyAlignment="1">
      <alignment vertical="center"/>
    </xf>
    <xf numFmtId="0" fontId="1" fillId="0" borderId="24"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8" fillId="0" borderId="46" xfId="1" applyFont="1" applyBorder="1" applyAlignment="1">
      <alignment horizontal="center" vertical="center"/>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39" xfId="1" applyFont="1" applyBorder="1" applyAlignment="1">
      <alignment horizontal="center" vertical="center"/>
    </xf>
    <xf numFmtId="0" fontId="8" fillId="0" borderId="38" xfId="1" applyFont="1" applyBorder="1" applyAlignment="1">
      <alignment horizontal="center" vertical="center"/>
    </xf>
    <xf numFmtId="0" fontId="8" fillId="0" borderId="37" xfId="1"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45"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47" xfId="1" applyNumberFormat="1" applyFont="1" applyFill="1" applyBorder="1" applyAlignment="1">
      <alignment horizontal="center" vertical="center"/>
    </xf>
    <xf numFmtId="0" fontId="6" fillId="0" borderId="0" xfId="1" applyFont="1" applyAlignment="1">
      <alignment horizontal="center" vertical="center" shrinkToFit="1"/>
    </xf>
    <xf numFmtId="0" fontId="19" fillId="0" borderId="0" xfId="1" applyFont="1" applyAlignment="1">
      <alignment horizontal="center" vertical="center" shrinkToFit="1"/>
    </xf>
    <xf numFmtId="0" fontId="23" fillId="12" borderId="76" xfId="1" applyFont="1" applyFill="1" applyBorder="1" applyAlignment="1">
      <alignment horizontal="center" vertical="center"/>
    </xf>
    <xf numFmtId="0" fontId="23" fillId="12" borderId="0" xfId="1" applyFont="1" applyFill="1" applyBorder="1">
      <alignment vertical="center"/>
    </xf>
    <xf numFmtId="0" fontId="23" fillId="12" borderId="40" xfId="1" applyFont="1" applyFill="1" applyBorder="1">
      <alignment vertical="center"/>
    </xf>
    <xf numFmtId="0" fontId="23" fillId="12" borderId="39" xfId="1" applyFont="1" applyFill="1" applyBorder="1" applyAlignment="1">
      <alignment horizontal="center" vertical="center"/>
    </xf>
    <xf numFmtId="0" fontId="23" fillId="12" borderId="37" xfId="1" applyFont="1" applyFill="1" applyBorder="1">
      <alignment vertical="center"/>
    </xf>
    <xf numFmtId="0" fontId="23" fillId="12" borderId="0" xfId="1" applyFont="1" applyFill="1" applyBorder="1" applyAlignment="1">
      <alignment horizontal="center" vertical="center"/>
    </xf>
    <xf numFmtId="0" fontId="23" fillId="0" borderId="77" xfId="1" applyFont="1" applyFill="1" applyBorder="1" applyAlignment="1">
      <alignment horizontal="center" vertical="center"/>
    </xf>
    <xf numFmtId="0" fontId="23" fillId="0" borderId="78" xfId="1" applyFont="1" applyFill="1" applyBorder="1" applyAlignment="1">
      <alignment vertical="center"/>
    </xf>
    <xf numFmtId="0" fontId="23" fillId="0" borderId="79" xfId="1" applyFont="1" applyFill="1" applyBorder="1" applyAlignment="1">
      <alignment vertical="center"/>
    </xf>
    <xf numFmtId="0" fontId="23" fillId="12" borderId="80" xfId="1" applyFont="1" applyFill="1" applyBorder="1" applyAlignment="1">
      <alignment horizontal="center" vertical="center"/>
    </xf>
    <xf numFmtId="0" fontId="23" fillId="12" borderId="81" xfId="1" applyFont="1" applyFill="1" applyBorder="1">
      <alignment vertical="center"/>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7.png"/><Relationship Id="rId13" Type="http://schemas.openxmlformats.org/officeDocument/2006/relationships/image" Target="../media/image51.png"/><Relationship Id="rId18" Type="http://schemas.openxmlformats.org/officeDocument/2006/relationships/image" Target="../media/image56.png"/><Relationship Id="rId3" Type="http://schemas.openxmlformats.org/officeDocument/2006/relationships/image" Target="../media/image42.png"/><Relationship Id="rId7" Type="http://schemas.openxmlformats.org/officeDocument/2006/relationships/image" Target="../media/image46.png"/><Relationship Id="rId12" Type="http://schemas.openxmlformats.org/officeDocument/2006/relationships/image" Target="../media/image32.png"/><Relationship Id="rId17" Type="http://schemas.openxmlformats.org/officeDocument/2006/relationships/image" Target="../media/image55.png"/><Relationship Id="rId2" Type="http://schemas.openxmlformats.org/officeDocument/2006/relationships/image" Target="../media/image41.png"/><Relationship Id="rId16" Type="http://schemas.openxmlformats.org/officeDocument/2006/relationships/image" Target="../media/image54.png"/><Relationship Id="rId1" Type="http://schemas.openxmlformats.org/officeDocument/2006/relationships/image" Target="../media/image40.png"/><Relationship Id="rId6" Type="http://schemas.openxmlformats.org/officeDocument/2006/relationships/image" Target="../media/image45.png"/><Relationship Id="rId11" Type="http://schemas.openxmlformats.org/officeDocument/2006/relationships/image" Target="../media/image50.png"/><Relationship Id="rId5" Type="http://schemas.openxmlformats.org/officeDocument/2006/relationships/image" Target="../media/image44.png"/><Relationship Id="rId15" Type="http://schemas.openxmlformats.org/officeDocument/2006/relationships/image" Target="../media/image53.png"/><Relationship Id="rId10" Type="http://schemas.openxmlformats.org/officeDocument/2006/relationships/image" Target="../media/image49.png"/><Relationship Id="rId19" Type="http://schemas.openxmlformats.org/officeDocument/2006/relationships/image" Target="../media/image57.png"/><Relationship Id="rId4" Type="http://schemas.openxmlformats.org/officeDocument/2006/relationships/image" Target="../media/image43.png"/><Relationship Id="rId9" Type="http://schemas.openxmlformats.org/officeDocument/2006/relationships/image" Target="../media/image48.png"/><Relationship Id="rId14" Type="http://schemas.openxmlformats.org/officeDocument/2006/relationships/image" Target="../media/image5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9.jpeg"/></Relationships>
</file>

<file path=xl/drawings/drawing1.xml><?xml version="1.0" encoding="utf-8"?>
<xdr:wsDr xmlns:xdr="http://schemas.openxmlformats.org/drawingml/2006/spreadsheetDrawing" xmlns:a="http://schemas.openxmlformats.org/drawingml/2006/main">
  <xdr:twoCellAnchor>
    <xdr:from>
      <xdr:col>9</xdr:col>
      <xdr:colOff>42333</xdr:colOff>
      <xdr:row>58</xdr:row>
      <xdr:rowOff>118534</xdr:rowOff>
    </xdr:from>
    <xdr:to>
      <xdr:col>10</xdr:col>
      <xdr:colOff>6653</xdr:colOff>
      <xdr:row>64</xdr:row>
      <xdr:rowOff>41119</xdr:rowOff>
    </xdr:to>
    <xdr:grpSp>
      <xdr:nvGrpSpPr>
        <xdr:cNvPr id="2" name="グループ化 17"/>
        <xdr:cNvGrpSpPr>
          <a:grpSpLocks/>
        </xdr:cNvGrpSpPr>
      </xdr:nvGrpSpPr>
      <xdr:grpSpPr bwMode="auto">
        <a:xfrm>
          <a:off x="7904788" y="9435716"/>
          <a:ext cx="1159274" cy="857767"/>
          <a:chOff x="5094162" y="13702728"/>
          <a:chExt cx="1685722" cy="849533"/>
        </a:xfrm>
      </xdr:grpSpPr>
      <xdr:sp macro="" textlink="">
        <xdr:nvSpPr>
          <xdr:cNvPr id="3" name="テキスト ボックス 2"/>
          <xdr:cNvSpPr txBox="1"/>
        </xdr:nvSpPr>
        <xdr:spPr bwMode="auto">
          <a:xfrm>
            <a:off x="5094162" y="13841091"/>
            <a:ext cx="1685722" cy="6312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561" y="13702728"/>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430750</xdr:colOff>
      <xdr:row>65</xdr:row>
      <xdr:rowOff>19188</xdr:rowOff>
    </xdr:from>
    <xdr:to>
      <xdr:col>9</xdr:col>
      <xdr:colOff>915427</xdr:colOff>
      <xdr:row>68</xdr:row>
      <xdr:rowOff>129124</xdr:rowOff>
    </xdr:to>
    <xdr:pic>
      <xdr:nvPicPr>
        <xdr:cNvPr id="6"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79350" y="10811013"/>
          <a:ext cx="484677" cy="59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1017174</xdr:colOff>
      <xdr:row>18</xdr:row>
      <xdr:rowOff>27985</xdr:rowOff>
    </xdr:from>
    <xdr:to>
      <xdr:col>13</xdr:col>
      <xdr:colOff>1474606</xdr:colOff>
      <xdr:row>20</xdr:row>
      <xdr:rowOff>118522</xdr:rowOff>
    </xdr:to>
    <xdr:pic>
      <xdr:nvPicPr>
        <xdr:cNvPr id="7"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27924" y="3209335"/>
          <a:ext cx="457432" cy="4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60</xdr:row>
      <xdr:rowOff>117107</xdr:rowOff>
    </xdr:from>
    <xdr:to>
      <xdr:col>9</xdr:col>
      <xdr:colOff>215900</xdr:colOff>
      <xdr:row>68</xdr:row>
      <xdr:rowOff>38100</xdr:rowOff>
    </xdr:to>
    <xdr:grpSp>
      <xdr:nvGrpSpPr>
        <xdr:cNvPr id="8" name="グループ化 1"/>
        <xdr:cNvGrpSpPr>
          <a:grpSpLocks/>
        </xdr:cNvGrpSpPr>
      </xdr:nvGrpSpPr>
      <xdr:grpSpPr bwMode="auto">
        <a:xfrm>
          <a:off x="177800" y="9746016"/>
          <a:ext cx="7900555" cy="1167902"/>
          <a:chOff x="123250" y="13493580"/>
          <a:chExt cx="8293710" cy="1269348"/>
        </a:xfrm>
      </xdr:grpSpPr>
      <xdr:pic>
        <xdr:nvPicPr>
          <xdr:cNvPr id="9" name="図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250" y="13493580"/>
            <a:ext cx="1400964" cy="1244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55229" y="13791351"/>
            <a:ext cx="1357521" cy="565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31572" y="14389830"/>
            <a:ext cx="576073" cy="27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723440" y="13829013"/>
            <a:ext cx="1329939" cy="93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74912" y="13954998"/>
            <a:ext cx="247437" cy="2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12684" y="14207727"/>
            <a:ext cx="152269" cy="153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41088" y="13974805"/>
            <a:ext cx="247437" cy="2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706684" y="14011211"/>
            <a:ext cx="513563" cy="648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429526" y="13724043"/>
            <a:ext cx="1113229"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7"/>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669840" y="13857518"/>
            <a:ext cx="301365" cy="286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162460" y="14101650"/>
            <a:ext cx="254500" cy="24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285623" y="13774452"/>
            <a:ext cx="503719" cy="887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118411</xdr:colOff>
      <xdr:row>0</xdr:row>
      <xdr:rowOff>0</xdr:rowOff>
    </xdr:from>
    <xdr:to>
      <xdr:col>20</xdr:col>
      <xdr:colOff>901700</xdr:colOff>
      <xdr:row>3</xdr:row>
      <xdr:rowOff>127000</xdr:rowOff>
    </xdr:to>
    <xdr:grpSp>
      <xdr:nvGrpSpPr>
        <xdr:cNvPr id="21" name="グループ化 8345"/>
        <xdr:cNvGrpSpPr>
          <a:grpSpLocks/>
        </xdr:cNvGrpSpPr>
      </xdr:nvGrpSpPr>
      <xdr:grpSpPr bwMode="auto">
        <a:xfrm>
          <a:off x="9955138" y="0"/>
          <a:ext cx="8056926" cy="871682"/>
          <a:chOff x="11679259" y="-37740"/>
          <a:chExt cx="9372477" cy="1011566"/>
        </a:xfrm>
      </xdr:grpSpPr>
      <xdr:pic>
        <xdr:nvPicPr>
          <xdr:cNvPr id="22" name="図 8323"/>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flipH="1">
            <a:off x="11679259" y="33175"/>
            <a:ext cx="1425504" cy="940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832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4456817" y="34257"/>
            <a:ext cx="1051381" cy="342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832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6274164" y="60477"/>
            <a:ext cx="1831270" cy="39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832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5770947" y="39234"/>
            <a:ext cx="486087" cy="597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832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8141975" y="-3066"/>
            <a:ext cx="524732" cy="5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8333"/>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9491869" y="68094"/>
            <a:ext cx="842962" cy="437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335"/>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9612822" y="-37740"/>
            <a:ext cx="224516" cy="480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53"/>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0324628" y="8829"/>
            <a:ext cx="156480" cy="33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8338"/>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9337062" y="46459"/>
            <a:ext cx="109613" cy="196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8340"/>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0882820" y="22737"/>
            <a:ext cx="168916" cy="281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103509</xdr:colOff>
      <xdr:row>0</xdr:row>
      <xdr:rowOff>36183</xdr:rowOff>
    </xdr:from>
    <xdr:to>
      <xdr:col>10</xdr:col>
      <xdr:colOff>115566</xdr:colOff>
      <xdr:row>6</xdr:row>
      <xdr:rowOff>76244</xdr:rowOff>
    </xdr:to>
    <xdr:grpSp>
      <xdr:nvGrpSpPr>
        <xdr:cNvPr id="32" name="グループ化 8344"/>
        <xdr:cNvGrpSpPr>
          <a:grpSpLocks/>
        </xdr:cNvGrpSpPr>
      </xdr:nvGrpSpPr>
      <xdr:grpSpPr bwMode="auto">
        <a:xfrm>
          <a:off x="449873" y="36183"/>
          <a:ext cx="8723102" cy="1252334"/>
          <a:chOff x="686889" y="-953"/>
          <a:chExt cx="10076997" cy="1254449"/>
        </a:xfrm>
      </xdr:grpSpPr>
      <xdr:pic>
        <xdr:nvPicPr>
          <xdr:cNvPr id="33" name="図 17"/>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087135" y="80568"/>
            <a:ext cx="264408" cy="24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21"/>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511678" y="202730"/>
            <a:ext cx="230035" cy="210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29"/>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7688827" y="98117"/>
            <a:ext cx="376156" cy="325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0"/>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4106237" y="-953"/>
            <a:ext cx="257023" cy="29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8320"/>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9656954" y="1"/>
            <a:ext cx="658760" cy="389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8" name="グループ化 8343"/>
          <xdr:cNvGrpSpPr>
            <a:grpSpLocks/>
          </xdr:cNvGrpSpPr>
        </xdr:nvGrpSpPr>
        <xdr:grpSpPr bwMode="auto">
          <a:xfrm>
            <a:off x="686889" y="0"/>
            <a:ext cx="1998352" cy="1253496"/>
            <a:chOff x="686889" y="0"/>
            <a:chExt cx="1998352" cy="1253496"/>
          </a:xfrm>
        </xdr:grpSpPr>
        <xdr:pic>
          <xdr:nvPicPr>
            <xdr:cNvPr id="41" name="図 10"/>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972010" y="2"/>
              <a:ext cx="564918" cy="98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9"/>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86889" y="0"/>
              <a:ext cx="649032" cy="59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3"/>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907144" y="211669"/>
              <a:ext cx="1328309" cy="104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8"/>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2274391" y="498930"/>
              <a:ext cx="410850" cy="50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39"/>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519649" y="137281"/>
              <a:ext cx="264408" cy="24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40"/>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22961" y="816429"/>
              <a:ext cx="264408" cy="24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9" name="図 8341"/>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0171002" y="60477"/>
            <a:ext cx="592884" cy="561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8342"/>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8726930" y="45357"/>
            <a:ext cx="568933" cy="36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331435</xdr:colOff>
      <xdr:row>0</xdr:row>
      <xdr:rowOff>161590</xdr:rowOff>
    </xdr:from>
    <xdr:to>
      <xdr:col>5</xdr:col>
      <xdr:colOff>1109395</xdr:colOff>
      <xdr:row>2</xdr:row>
      <xdr:rowOff>43415</xdr:rowOff>
    </xdr:to>
    <xdr:pic>
      <xdr:nvPicPr>
        <xdr:cNvPr id="47" name="図 1"/>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341585" y="161590"/>
          <a:ext cx="777960" cy="4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885537</xdr:colOff>
      <xdr:row>0</xdr:row>
      <xdr:rowOff>48043</xdr:rowOff>
    </xdr:from>
    <xdr:to>
      <xdr:col>5</xdr:col>
      <xdr:colOff>126275</xdr:colOff>
      <xdr:row>0</xdr:row>
      <xdr:rowOff>391423</xdr:rowOff>
    </xdr:to>
    <xdr:pic>
      <xdr:nvPicPr>
        <xdr:cNvPr id="48" name="図 2"/>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4705062" y="48043"/>
          <a:ext cx="431363" cy="34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230597</xdr:colOff>
      <xdr:row>0</xdr:row>
      <xdr:rowOff>0</xdr:rowOff>
    </xdr:from>
    <xdr:to>
      <xdr:col>4</xdr:col>
      <xdr:colOff>696918</xdr:colOff>
      <xdr:row>1</xdr:row>
      <xdr:rowOff>125882</xdr:rowOff>
    </xdr:to>
    <xdr:pic>
      <xdr:nvPicPr>
        <xdr:cNvPr id="49" name="図 5"/>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l="-24358" t="-20831" r="-32051" b="-40720"/>
        <a:stretch>
          <a:fillRect/>
        </a:stretch>
      </xdr:blipFill>
      <xdr:spPr bwMode="auto">
        <a:xfrm>
          <a:off x="4050122" y="0"/>
          <a:ext cx="466321" cy="55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1477711</xdr:colOff>
      <xdr:row>0</xdr:row>
      <xdr:rowOff>76429</xdr:rowOff>
    </xdr:from>
    <xdr:to>
      <xdr:col>14</xdr:col>
      <xdr:colOff>423775</xdr:colOff>
      <xdr:row>2</xdr:row>
      <xdr:rowOff>141866</xdr:rowOff>
    </xdr:to>
    <xdr:pic>
      <xdr:nvPicPr>
        <xdr:cNvPr id="50" name="図 2"/>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1288461" y="76429"/>
          <a:ext cx="974889" cy="655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198976</xdr:colOff>
      <xdr:row>0</xdr:row>
      <xdr:rowOff>106940</xdr:rowOff>
    </xdr:from>
    <xdr:to>
      <xdr:col>11</xdr:col>
      <xdr:colOff>135169</xdr:colOff>
      <xdr:row>1</xdr:row>
      <xdr:rowOff>207820</xdr:rowOff>
    </xdr:to>
    <xdr:pic>
      <xdr:nvPicPr>
        <xdr:cNvPr id="2"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7276" y="106940"/>
          <a:ext cx="1279218" cy="92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190889</xdr:colOff>
      <xdr:row>0</xdr:row>
      <xdr:rowOff>98061</xdr:rowOff>
    </xdr:from>
    <xdr:to>
      <xdr:col>12</xdr:col>
      <xdr:colOff>35830</xdr:colOff>
      <xdr:row>0</xdr:row>
      <xdr:rowOff>721721</xdr:rowOff>
    </xdr:to>
    <xdr:pic>
      <xdr:nvPicPr>
        <xdr:cNvPr id="3" name="図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2214" y="98061"/>
          <a:ext cx="1187966" cy="623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371407</xdr:colOff>
      <xdr:row>0</xdr:row>
      <xdr:rowOff>50872</xdr:rowOff>
    </xdr:from>
    <xdr:to>
      <xdr:col>15</xdr:col>
      <xdr:colOff>1021748</xdr:colOff>
      <xdr:row>0</xdr:row>
      <xdr:rowOff>786232</xdr:rowOff>
    </xdr:to>
    <xdr:pic>
      <xdr:nvPicPr>
        <xdr:cNvPr id="4" name="図 2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01807" y="50872"/>
          <a:ext cx="1993366" cy="73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775854</xdr:colOff>
      <xdr:row>0</xdr:row>
      <xdr:rowOff>125771</xdr:rowOff>
    </xdr:from>
    <xdr:to>
      <xdr:col>14</xdr:col>
      <xdr:colOff>308102</xdr:colOff>
      <xdr:row>1</xdr:row>
      <xdr:rowOff>243843</xdr:rowOff>
    </xdr:to>
    <xdr:pic>
      <xdr:nvPicPr>
        <xdr:cNvPr id="5" name="図 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63229" y="125771"/>
          <a:ext cx="875273" cy="946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357846</xdr:colOff>
      <xdr:row>0</xdr:row>
      <xdr:rowOff>0</xdr:rowOff>
    </xdr:from>
    <xdr:to>
      <xdr:col>13</xdr:col>
      <xdr:colOff>304799</xdr:colOff>
      <xdr:row>1</xdr:row>
      <xdr:rowOff>136689</xdr:rowOff>
    </xdr:to>
    <xdr:pic>
      <xdr:nvPicPr>
        <xdr:cNvPr id="6" name="図 3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302196" y="0"/>
          <a:ext cx="1289978" cy="965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578018</xdr:colOff>
      <xdr:row>0</xdr:row>
      <xdr:rowOff>195476</xdr:rowOff>
    </xdr:from>
    <xdr:to>
      <xdr:col>3</xdr:col>
      <xdr:colOff>735833</xdr:colOff>
      <xdr:row>0</xdr:row>
      <xdr:rowOff>437493</xdr:rowOff>
    </xdr:to>
    <xdr:pic>
      <xdr:nvPicPr>
        <xdr:cNvPr id="7" name="図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21118" y="195476"/>
          <a:ext cx="157815" cy="242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700566</xdr:colOff>
      <xdr:row>0</xdr:row>
      <xdr:rowOff>93084</xdr:rowOff>
    </xdr:from>
    <xdr:to>
      <xdr:col>6</xdr:col>
      <xdr:colOff>1146802</xdr:colOff>
      <xdr:row>0</xdr:row>
      <xdr:rowOff>735361</xdr:rowOff>
    </xdr:to>
    <xdr:pic>
      <xdr:nvPicPr>
        <xdr:cNvPr id="8" name="図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72741" y="93084"/>
          <a:ext cx="446236" cy="642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182489</xdr:colOff>
      <xdr:row>0</xdr:row>
      <xdr:rowOff>316484</xdr:rowOff>
    </xdr:from>
    <xdr:to>
      <xdr:col>4</xdr:col>
      <xdr:colOff>416491</xdr:colOff>
      <xdr:row>0</xdr:row>
      <xdr:rowOff>772594</xdr:rowOff>
    </xdr:to>
    <xdr:pic>
      <xdr:nvPicPr>
        <xdr:cNvPr id="9" name="図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468614" y="316484"/>
          <a:ext cx="234002" cy="456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790338</xdr:colOff>
      <xdr:row>0</xdr:row>
      <xdr:rowOff>13854</xdr:rowOff>
    </xdr:from>
    <xdr:to>
      <xdr:col>9</xdr:col>
      <xdr:colOff>74710</xdr:colOff>
      <xdr:row>1</xdr:row>
      <xdr:rowOff>6263</xdr:rowOff>
    </xdr:to>
    <xdr:pic>
      <xdr:nvPicPr>
        <xdr:cNvPr id="10" name="図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105538" y="13854"/>
          <a:ext cx="970297" cy="821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218852</xdr:colOff>
      <xdr:row>1</xdr:row>
      <xdr:rowOff>211156</xdr:rowOff>
    </xdr:to>
    <xdr:grpSp>
      <xdr:nvGrpSpPr>
        <xdr:cNvPr id="11" name="グループ化 10"/>
        <xdr:cNvGrpSpPr>
          <a:grpSpLocks/>
        </xdr:cNvGrpSpPr>
      </xdr:nvGrpSpPr>
      <xdr:grpSpPr bwMode="auto">
        <a:xfrm>
          <a:off x="0" y="0"/>
          <a:ext cx="2147665" cy="1044594"/>
          <a:chOff x="393712" y="-82972"/>
          <a:chExt cx="4356223" cy="1370539"/>
        </a:xfrm>
      </xdr:grpSpPr>
      <xdr:pic>
        <xdr:nvPicPr>
          <xdr:cNvPr id="12" name="図 1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17083" y="-82972"/>
            <a:ext cx="572405" cy="1043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93712" y="-82972"/>
            <a:ext cx="981070" cy="948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15863" y="-54528"/>
            <a:ext cx="2134069" cy="134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090682" y="197057"/>
            <a:ext cx="659253"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83912" y="12822"/>
            <a:ext cx="264407" cy="24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2894" y="754200"/>
            <a:ext cx="264407" cy="241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105658</xdr:colOff>
      <xdr:row>0</xdr:row>
      <xdr:rowOff>176859</xdr:rowOff>
    </xdr:from>
    <xdr:to>
      <xdr:col>7</xdr:col>
      <xdr:colOff>595429</xdr:colOff>
      <xdr:row>0</xdr:row>
      <xdr:rowOff>716744</xdr:rowOff>
    </xdr:to>
    <xdr:pic>
      <xdr:nvPicPr>
        <xdr:cNvPr id="18" name="図 13"/>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420858" y="176859"/>
          <a:ext cx="489771" cy="53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858970</xdr:colOff>
      <xdr:row>0</xdr:row>
      <xdr:rowOff>205215</xdr:rowOff>
    </xdr:from>
    <xdr:to>
      <xdr:col>3</xdr:col>
      <xdr:colOff>1087530</xdr:colOff>
      <xdr:row>0</xdr:row>
      <xdr:rowOff>549624</xdr:rowOff>
    </xdr:to>
    <xdr:pic>
      <xdr:nvPicPr>
        <xdr:cNvPr id="19" name="図 3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802070" y="205215"/>
          <a:ext cx="228560" cy="344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542487</xdr:colOff>
      <xdr:row>0</xdr:row>
      <xdr:rowOff>600</xdr:rowOff>
    </xdr:from>
    <xdr:to>
      <xdr:col>6</xdr:col>
      <xdr:colOff>471055</xdr:colOff>
      <xdr:row>1</xdr:row>
      <xdr:rowOff>24379</xdr:rowOff>
    </xdr:to>
    <xdr:pic>
      <xdr:nvPicPr>
        <xdr:cNvPr id="20" name="図 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171637" y="600"/>
          <a:ext cx="1271593" cy="852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1167416</xdr:colOff>
      <xdr:row>0</xdr:row>
      <xdr:rowOff>99383</xdr:rowOff>
    </xdr:from>
    <xdr:to>
      <xdr:col>5</xdr:col>
      <xdr:colOff>395464</xdr:colOff>
      <xdr:row>0</xdr:row>
      <xdr:rowOff>722192</xdr:rowOff>
    </xdr:to>
    <xdr:pic>
      <xdr:nvPicPr>
        <xdr:cNvPr id="21" name="図 3"/>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453541" y="99383"/>
          <a:ext cx="571073" cy="622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495390</xdr:colOff>
      <xdr:row>0</xdr:row>
      <xdr:rowOff>47182</xdr:rowOff>
    </xdr:from>
    <xdr:to>
      <xdr:col>4</xdr:col>
      <xdr:colOff>1125852</xdr:colOff>
      <xdr:row>0</xdr:row>
      <xdr:rowOff>802102</xdr:rowOff>
    </xdr:to>
    <xdr:pic>
      <xdr:nvPicPr>
        <xdr:cNvPr id="22" name="図 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l="-43478" t="-36047" r="-60869" b="-28748"/>
        <a:stretch>
          <a:fillRect/>
        </a:stretch>
      </xdr:blipFill>
      <xdr:spPr bwMode="auto">
        <a:xfrm>
          <a:off x="3781515" y="47182"/>
          <a:ext cx="630462" cy="754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285750</xdr:colOff>
      <xdr:row>22</xdr:row>
      <xdr:rowOff>0</xdr:rowOff>
    </xdr:from>
    <xdr:to>
      <xdr:col>19</xdr:col>
      <xdr:colOff>514350</xdr:colOff>
      <xdr:row>30</xdr:row>
      <xdr:rowOff>123825</xdr:rowOff>
    </xdr:to>
    <xdr:pic>
      <xdr:nvPicPr>
        <xdr:cNvPr id="103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4630400"/>
          <a:ext cx="29908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371475</xdr:colOff>
      <xdr:row>27</xdr:row>
      <xdr:rowOff>0</xdr:rowOff>
    </xdr:from>
    <xdr:to>
      <xdr:col>19</xdr:col>
      <xdr:colOff>333375</xdr:colOff>
      <xdr:row>34</xdr:row>
      <xdr:rowOff>180975</xdr:rowOff>
    </xdr:to>
    <xdr:pic>
      <xdr:nvPicPr>
        <xdr:cNvPr id="205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0" y="14811375"/>
          <a:ext cx="27241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zoomScale="55" zoomScaleNormal="55" zoomScaleSheetLayoutView="85" workbookViewId="0"/>
  </sheetViews>
  <sheetFormatPr defaultColWidth="9" defaultRowHeight="13.5" x14ac:dyDescent="0.15"/>
  <cols>
    <col min="1" max="1" width="4.5" style="150" bestFit="1" customWidth="1"/>
    <col min="2" max="2" width="3.375" style="151" bestFit="1" customWidth="1"/>
    <col min="3" max="3" width="26.625" style="151" customWidth="1"/>
    <col min="4" max="5" width="15.625" style="151" customWidth="1"/>
    <col min="6" max="6" width="16.875" style="151" customWidth="1"/>
    <col min="7" max="7" width="5.75" style="152" customWidth="1"/>
    <col min="8" max="8" width="4" style="151" customWidth="1"/>
    <col min="9" max="9" width="10.625" style="151" customWidth="1"/>
    <col min="10" max="10" width="15.625" style="151" customWidth="1"/>
    <col min="11" max="11" width="2.25" style="151" customWidth="1"/>
    <col min="12" max="12" width="4.5" style="184" bestFit="1" customWidth="1"/>
    <col min="13" max="13" width="3.375" style="151" bestFit="1" customWidth="1"/>
    <col min="14" max="14" width="26.625" style="151" customWidth="1"/>
    <col min="15" max="16" width="15.625" style="151" customWidth="1"/>
    <col min="17" max="17" width="16.875" style="151" customWidth="1"/>
    <col min="18" max="18" width="5.875" style="152" customWidth="1"/>
    <col min="19" max="19" width="4.125" style="151" bestFit="1" customWidth="1"/>
    <col min="20" max="20" width="10.625" style="151" customWidth="1"/>
    <col min="21" max="21" width="14.25" style="151" customWidth="1"/>
    <col min="22" max="16384" width="9" style="151"/>
  </cols>
  <sheetData>
    <row r="1" spans="1:21" ht="33.75" customHeight="1" x14ac:dyDescent="0.15">
      <c r="L1" s="150"/>
    </row>
    <row r="2" spans="1:21" s="150" customFormat="1" ht="12.75" customHeight="1" x14ac:dyDescent="0.15">
      <c r="A2" s="261" t="s">
        <v>392</v>
      </c>
      <c r="B2" s="255" t="s">
        <v>393</v>
      </c>
      <c r="C2" s="256"/>
      <c r="D2" s="271" t="s">
        <v>394</v>
      </c>
      <c r="E2" s="272"/>
      <c r="F2" s="273"/>
      <c r="G2" s="258" t="s">
        <v>395</v>
      </c>
      <c r="H2" s="259"/>
      <c r="I2" s="260"/>
      <c r="J2" s="153"/>
      <c r="K2" s="154"/>
      <c r="L2" s="261" t="s">
        <v>396</v>
      </c>
      <c r="M2" s="255" t="s">
        <v>393</v>
      </c>
      <c r="N2" s="256"/>
      <c r="O2" s="257" t="s">
        <v>394</v>
      </c>
      <c r="P2" s="257"/>
      <c r="Q2" s="257"/>
      <c r="R2" s="258" t="s">
        <v>395</v>
      </c>
      <c r="S2" s="259"/>
      <c r="T2" s="260"/>
      <c r="U2" s="153"/>
    </row>
    <row r="3" spans="1:21" s="150" customFormat="1" ht="12.75" customHeight="1" x14ac:dyDescent="0.15">
      <c r="A3" s="261"/>
      <c r="B3" s="255"/>
      <c r="C3" s="256"/>
      <c r="D3" s="262" t="s">
        <v>397</v>
      </c>
      <c r="E3" s="265" t="s">
        <v>398</v>
      </c>
      <c r="F3" s="268" t="s">
        <v>399</v>
      </c>
      <c r="G3" s="246" t="s">
        <v>400</v>
      </c>
      <c r="H3" s="247"/>
      <c r="I3" s="250" t="s">
        <v>401</v>
      </c>
      <c r="J3" s="252" t="s">
        <v>402</v>
      </c>
      <c r="K3" s="154"/>
      <c r="L3" s="261"/>
      <c r="M3" s="255"/>
      <c r="N3" s="256"/>
      <c r="O3" s="243" t="s">
        <v>397</v>
      </c>
      <c r="P3" s="244" t="s">
        <v>398</v>
      </c>
      <c r="Q3" s="245" t="s">
        <v>399</v>
      </c>
      <c r="R3" s="246" t="s">
        <v>400</v>
      </c>
      <c r="S3" s="247"/>
      <c r="T3" s="250" t="s">
        <v>401</v>
      </c>
      <c r="U3" s="252" t="s">
        <v>402</v>
      </c>
    </row>
    <row r="4" spans="1:21" s="150" customFormat="1" ht="12.75" customHeight="1" x14ac:dyDescent="0.15">
      <c r="A4" s="261"/>
      <c r="B4" s="255"/>
      <c r="C4" s="256"/>
      <c r="D4" s="263"/>
      <c r="E4" s="266"/>
      <c r="F4" s="269"/>
      <c r="G4" s="246"/>
      <c r="H4" s="247"/>
      <c r="I4" s="250"/>
      <c r="J4" s="253"/>
      <c r="K4" s="154"/>
      <c r="L4" s="261"/>
      <c r="M4" s="255"/>
      <c r="N4" s="256"/>
      <c r="O4" s="243"/>
      <c r="P4" s="244"/>
      <c r="Q4" s="245"/>
      <c r="R4" s="246"/>
      <c r="S4" s="247"/>
      <c r="T4" s="250"/>
      <c r="U4" s="253"/>
    </row>
    <row r="5" spans="1:21" s="150" customFormat="1" ht="12.75" customHeight="1" x14ac:dyDescent="0.15">
      <c r="A5" s="261"/>
      <c r="B5" s="255"/>
      <c r="C5" s="256"/>
      <c r="D5" s="263"/>
      <c r="E5" s="266"/>
      <c r="F5" s="269"/>
      <c r="G5" s="246"/>
      <c r="H5" s="247"/>
      <c r="I5" s="250"/>
      <c r="J5" s="253"/>
      <c r="K5" s="154"/>
      <c r="L5" s="261"/>
      <c r="M5" s="255"/>
      <c r="N5" s="256"/>
      <c r="O5" s="243"/>
      <c r="P5" s="244"/>
      <c r="Q5" s="245"/>
      <c r="R5" s="246"/>
      <c r="S5" s="247"/>
      <c r="T5" s="250"/>
      <c r="U5" s="253"/>
    </row>
    <row r="6" spans="1:21" s="150" customFormat="1" ht="12.75" customHeight="1" x14ac:dyDescent="0.15">
      <c r="A6" s="261"/>
      <c r="B6" s="255"/>
      <c r="C6" s="256"/>
      <c r="D6" s="264"/>
      <c r="E6" s="267"/>
      <c r="F6" s="270"/>
      <c r="G6" s="248"/>
      <c r="H6" s="249"/>
      <c r="I6" s="251"/>
      <c r="J6" s="254"/>
      <c r="K6" s="154"/>
      <c r="L6" s="261"/>
      <c r="M6" s="255"/>
      <c r="N6" s="256"/>
      <c r="O6" s="243"/>
      <c r="P6" s="244"/>
      <c r="Q6" s="245"/>
      <c r="R6" s="248"/>
      <c r="S6" s="249"/>
      <c r="T6" s="251"/>
      <c r="U6" s="254"/>
    </row>
    <row r="7" spans="1:21" ht="12.75" customHeight="1" x14ac:dyDescent="0.15">
      <c r="A7" s="236">
        <v>2</v>
      </c>
      <c r="B7" s="239" t="s">
        <v>403</v>
      </c>
      <c r="C7" s="155" t="s">
        <v>68</v>
      </c>
      <c r="D7" s="230" t="s">
        <v>404</v>
      </c>
      <c r="E7" s="230" t="s">
        <v>405</v>
      </c>
      <c r="F7" s="230" t="s">
        <v>406</v>
      </c>
      <c r="G7" s="156">
        <f>(634*0.75)</f>
        <v>475.5</v>
      </c>
      <c r="H7" s="157" t="s">
        <v>407</v>
      </c>
      <c r="I7" s="233" t="s">
        <v>408</v>
      </c>
      <c r="J7" s="158" t="s">
        <v>52</v>
      </c>
      <c r="K7" s="159"/>
      <c r="L7" s="225">
        <v>17</v>
      </c>
      <c r="M7" s="225" t="s">
        <v>409</v>
      </c>
      <c r="N7" s="157" t="s">
        <v>18</v>
      </c>
      <c r="O7" s="237" t="s">
        <v>410</v>
      </c>
      <c r="P7" s="237" t="s">
        <v>411</v>
      </c>
      <c r="Q7" s="237" t="s">
        <v>412</v>
      </c>
      <c r="R7" s="156">
        <f>(643*0.75)</f>
        <v>482.25</v>
      </c>
      <c r="S7" s="157" t="s">
        <v>407</v>
      </c>
      <c r="T7" s="233" t="s">
        <v>413</v>
      </c>
      <c r="U7" s="158" t="s">
        <v>52</v>
      </c>
    </row>
    <row r="8" spans="1:21" ht="12.75" customHeight="1" x14ac:dyDescent="0.15">
      <c r="A8" s="236"/>
      <c r="B8" s="239"/>
      <c r="C8" s="160" t="s">
        <v>80</v>
      </c>
      <c r="D8" s="231"/>
      <c r="E8" s="231"/>
      <c r="F8" s="231"/>
      <c r="G8" s="161">
        <f>(21.2*0.75)</f>
        <v>15.899999999999999</v>
      </c>
      <c r="H8" s="160" t="s">
        <v>414</v>
      </c>
      <c r="I8" s="234"/>
      <c r="J8" s="162" t="s">
        <v>415</v>
      </c>
      <c r="K8" s="163"/>
      <c r="L8" s="225"/>
      <c r="M8" s="225"/>
      <c r="N8" s="164" t="s">
        <v>230</v>
      </c>
      <c r="O8" s="242"/>
      <c r="P8" s="242"/>
      <c r="Q8" s="237"/>
      <c r="R8" s="161">
        <f>(20.4*0.75)</f>
        <v>15.299999999999999</v>
      </c>
      <c r="S8" s="160" t="s">
        <v>416</v>
      </c>
      <c r="T8" s="234"/>
      <c r="U8" s="162" t="s">
        <v>417</v>
      </c>
    </row>
    <row r="9" spans="1:21" ht="12.75" customHeight="1" x14ac:dyDescent="0.15">
      <c r="A9" s="236"/>
      <c r="B9" s="239"/>
      <c r="C9" s="160" t="s">
        <v>87</v>
      </c>
      <c r="D9" s="231"/>
      <c r="E9" s="231"/>
      <c r="F9" s="231"/>
      <c r="G9" s="161">
        <f>(19.3*0.75)</f>
        <v>14.475000000000001</v>
      </c>
      <c r="H9" s="160" t="s">
        <v>416</v>
      </c>
      <c r="I9" s="234"/>
      <c r="J9" s="162"/>
      <c r="K9" s="163"/>
      <c r="L9" s="225"/>
      <c r="M9" s="225"/>
      <c r="N9" s="160" t="s">
        <v>112</v>
      </c>
      <c r="O9" s="242"/>
      <c r="P9" s="242"/>
      <c r="Q9" s="237"/>
      <c r="R9" s="161">
        <f>(21.9*0.75)</f>
        <v>16.424999999999997</v>
      </c>
      <c r="S9" s="160" t="s">
        <v>416</v>
      </c>
      <c r="T9" s="234"/>
      <c r="U9" s="162"/>
    </row>
    <row r="10" spans="1:21" ht="12.75" customHeight="1" x14ac:dyDescent="0.15">
      <c r="A10" s="236"/>
      <c r="B10" s="239"/>
      <c r="C10" s="160" t="s">
        <v>91</v>
      </c>
      <c r="D10" s="231"/>
      <c r="E10" s="231"/>
      <c r="F10" s="231"/>
      <c r="G10" s="161">
        <f>(91.1*0.75)</f>
        <v>68.324999999999989</v>
      </c>
      <c r="H10" s="160" t="s">
        <v>416</v>
      </c>
      <c r="I10" s="234"/>
      <c r="J10" s="162"/>
      <c r="K10" s="163"/>
      <c r="L10" s="225"/>
      <c r="M10" s="225"/>
      <c r="N10" s="160" t="s">
        <v>118</v>
      </c>
      <c r="O10" s="242"/>
      <c r="P10" s="242"/>
      <c r="Q10" s="237"/>
      <c r="R10" s="161">
        <f>(88.7*0.75)</f>
        <v>66.525000000000006</v>
      </c>
      <c r="S10" s="160" t="s">
        <v>416</v>
      </c>
      <c r="T10" s="234"/>
      <c r="U10" s="162"/>
    </row>
    <row r="11" spans="1:21" ht="12.75" customHeight="1" x14ac:dyDescent="0.15">
      <c r="A11" s="236"/>
      <c r="B11" s="239"/>
      <c r="C11" s="165"/>
      <c r="D11" s="232"/>
      <c r="E11" s="232"/>
      <c r="F11" s="232"/>
      <c r="G11" s="166">
        <f>(2*0.75)</f>
        <v>1.5</v>
      </c>
      <c r="H11" s="165" t="s">
        <v>418</v>
      </c>
      <c r="I11" s="235"/>
      <c r="J11" s="167"/>
      <c r="K11" s="163"/>
      <c r="L11" s="225"/>
      <c r="M11" s="225"/>
      <c r="N11" s="165"/>
      <c r="O11" s="242"/>
      <c r="P11" s="242"/>
      <c r="Q11" s="237"/>
      <c r="R11" s="166">
        <f>(1.4*0.75)</f>
        <v>1.0499999999999998</v>
      </c>
      <c r="S11" s="165" t="s">
        <v>418</v>
      </c>
      <c r="T11" s="235"/>
      <c r="U11" s="167"/>
    </row>
    <row r="12" spans="1:21" ht="12.75" customHeight="1" x14ac:dyDescent="0.15">
      <c r="A12" s="236">
        <v>3</v>
      </c>
      <c r="B12" s="239" t="s">
        <v>409</v>
      </c>
      <c r="C12" s="157" t="s">
        <v>18</v>
      </c>
      <c r="D12" s="230" t="s">
        <v>419</v>
      </c>
      <c r="E12" s="230" t="s">
        <v>420</v>
      </c>
      <c r="F12" s="230" t="s">
        <v>421</v>
      </c>
      <c r="G12" s="156">
        <f>(624*0.75)</f>
        <v>468</v>
      </c>
      <c r="H12" s="168" t="s">
        <v>423</v>
      </c>
      <c r="I12" s="233" t="s">
        <v>424</v>
      </c>
      <c r="J12" s="158" t="s">
        <v>52</v>
      </c>
      <c r="K12" s="169"/>
      <c r="L12" s="227" t="s">
        <v>425</v>
      </c>
      <c r="M12" s="229" t="s">
        <v>426</v>
      </c>
      <c r="N12" s="157" t="s">
        <v>94</v>
      </c>
      <c r="O12" s="237" t="s">
        <v>427</v>
      </c>
      <c r="P12" s="237" t="s">
        <v>428</v>
      </c>
      <c r="Q12" s="237" t="s">
        <v>429</v>
      </c>
      <c r="R12" s="156">
        <f>(642*0.75)</f>
        <v>481.5</v>
      </c>
      <c r="S12" s="168" t="s">
        <v>422</v>
      </c>
      <c r="T12" s="233" t="s">
        <v>430</v>
      </c>
      <c r="U12" s="158" t="s">
        <v>52</v>
      </c>
    </row>
    <row r="13" spans="1:21" ht="12.75" customHeight="1" x14ac:dyDescent="0.15">
      <c r="A13" s="240"/>
      <c r="B13" s="239"/>
      <c r="C13" s="164" t="s">
        <v>103</v>
      </c>
      <c r="D13" s="231"/>
      <c r="E13" s="231"/>
      <c r="F13" s="231"/>
      <c r="G13" s="161">
        <f>(20.4*0.75)</f>
        <v>15.299999999999999</v>
      </c>
      <c r="H13" s="160" t="s">
        <v>414</v>
      </c>
      <c r="I13" s="234"/>
      <c r="J13" s="162" t="s">
        <v>431</v>
      </c>
      <c r="K13" s="169"/>
      <c r="L13" s="241"/>
      <c r="M13" s="229"/>
      <c r="N13" s="170" t="s">
        <v>432</v>
      </c>
      <c r="O13" s="237"/>
      <c r="P13" s="237"/>
      <c r="Q13" s="237"/>
      <c r="R13" s="161">
        <f>(21.6*0.75)</f>
        <v>16.200000000000003</v>
      </c>
      <c r="S13" s="160" t="s">
        <v>433</v>
      </c>
      <c r="T13" s="234"/>
      <c r="U13" s="162" t="s">
        <v>434</v>
      </c>
    </row>
    <row r="14" spans="1:21" ht="12.75" customHeight="1" x14ac:dyDescent="0.15">
      <c r="A14" s="240"/>
      <c r="B14" s="239"/>
      <c r="C14" s="160" t="s">
        <v>112</v>
      </c>
      <c r="D14" s="231"/>
      <c r="E14" s="231"/>
      <c r="F14" s="231"/>
      <c r="G14" s="161">
        <f>(21.1*0.75)</f>
        <v>15.825000000000001</v>
      </c>
      <c r="H14" s="160" t="s">
        <v>433</v>
      </c>
      <c r="I14" s="234"/>
      <c r="J14" s="162"/>
      <c r="K14" s="169"/>
      <c r="L14" s="241"/>
      <c r="M14" s="229"/>
      <c r="N14" s="160" t="s">
        <v>139</v>
      </c>
      <c r="O14" s="237"/>
      <c r="P14" s="237"/>
      <c r="Q14" s="237"/>
      <c r="R14" s="161">
        <f>(19.3*0.75)</f>
        <v>14.475000000000001</v>
      </c>
      <c r="S14" s="160" t="s">
        <v>433</v>
      </c>
      <c r="T14" s="234"/>
      <c r="U14" s="162"/>
    </row>
    <row r="15" spans="1:21" ht="12.75" customHeight="1" x14ac:dyDescent="0.15">
      <c r="A15" s="240"/>
      <c r="B15" s="239"/>
      <c r="C15" s="160" t="s">
        <v>118</v>
      </c>
      <c r="D15" s="231"/>
      <c r="E15" s="231"/>
      <c r="F15" s="231"/>
      <c r="G15" s="161">
        <f>(85.8*0.75)</f>
        <v>64.349999999999994</v>
      </c>
      <c r="H15" s="160" t="s">
        <v>433</v>
      </c>
      <c r="I15" s="234"/>
      <c r="J15" s="162"/>
      <c r="K15" s="169"/>
      <c r="L15" s="241"/>
      <c r="M15" s="229"/>
      <c r="N15" s="160" t="s">
        <v>38</v>
      </c>
      <c r="O15" s="237"/>
      <c r="P15" s="237"/>
      <c r="Q15" s="237"/>
      <c r="R15" s="161">
        <f>(91.9*0.75)</f>
        <v>68.925000000000011</v>
      </c>
      <c r="S15" s="160" t="s">
        <v>433</v>
      </c>
      <c r="T15" s="234"/>
      <c r="U15" s="162"/>
    </row>
    <row r="16" spans="1:21" ht="12.75" customHeight="1" x14ac:dyDescent="0.15">
      <c r="A16" s="240"/>
      <c r="B16" s="239"/>
      <c r="C16" s="165"/>
      <c r="D16" s="232"/>
      <c r="E16" s="232"/>
      <c r="F16" s="232"/>
      <c r="G16" s="166">
        <f>(1.4*0.75)</f>
        <v>1.0499999999999998</v>
      </c>
      <c r="H16" s="165" t="s">
        <v>433</v>
      </c>
      <c r="I16" s="235"/>
      <c r="J16" s="167"/>
      <c r="K16" s="169"/>
      <c r="L16" s="241"/>
      <c r="M16" s="229"/>
      <c r="N16" s="165" t="s">
        <v>142</v>
      </c>
      <c r="O16" s="237"/>
      <c r="P16" s="237"/>
      <c r="Q16" s="237"/>
      <c r="R16" s="166">
        <f>(1.4*0.75)</f>
        <v>1.0499999999999998</v>
      </c>
      <c r="S16" s="165" t="s">
        <v>433</v>
      </c>
      <c r="T16" s="235"/>
      <c r="U16" s="167"/>
    </row>
    <row r="17" spans="1:21" ht="12.75" customHeight="1" x14ac:dyDescent="0.15">
      <c r="A17" s="236">
        <v>4</v>
      </c>
      <c r="B17" s="239" t="s">
        <v>50</v>
      </c>
      <c r="C17" s="157" t="s">
        <v>94</v>
      </c>
      <c r="D17" s="230" t="s">
        <v>435</v>
      </c>
      <c r="E17" s="230" t="s">
        <v>428</v>
      </c>
      <c r="F17" s="230" t="s">
        <v>436</v>
      </c>
      <c r="G17" s="156">
        <f>(640*0.75)</f>
        <v>480</v>
      </c>
      <c r="H17" s="168" t="s">
        <v>437</v>
      </c>
      <c r="I17" s="233" t="s">
        <v>438</v>
      </c>
      <c r="J17" s="158" t="s">
        <v>52</v>
      </c>
      <c r="K17" s="159"/>
      <c r="L17" s="225">
        <v>19</v>
      </c>
      <c r="M17" s="225" t="s">
        <v>439</v>
      </c>
      <c r="N17" s="171" t="s">
        <v>147</v>
      </c>
      <c r="O17" s="237" t="s">
        <v>440</v>
      </c>
      <c r="P17" s="237" t="s">
        <v>441</v>
      </c>
      <c r="Q17" s="237" t="s">
        <v>442</v>
      </c>
      <c r="R17" s="156">
        <f>(566*0.75)</f>
        <v>424.5</v>
      </c>
      <c r="S17" s="168" t="s">
        <v>422</v>
      </c>
      <c r="T17" s="233" t="s">
        <v>443</v>
      </c>
      <c r="U17" s="158" t="s">
        <v>52</v>
      </c>
    </row>
    <row r="18" spans="1:21" ht="12.75" customHeight="1" x14ac:dyDescent="0.15">
      <c r="A18" s="240"/>
      <c r="B18" s="239"/>
      <c r="C18" s="170" t="s">
        <v>130</v>
      </c>
      <c r="D18" s="231"/>
      <c r="E18" s="231"/>
      <c r="F18" s="231"/>
      <c r="G18" s="161">
        <f>(21.6*0.75)</f>
        <v>16.200000000000003</v>
      </c>
      <c r="H18" s="160" t="s">
        <v>414</v>
      </c>
      <c r="I18" s="234"/>
      <c r="J18" s="162" t="s">
        <v>444</v>
      </c>
      <c r="K18" s="169"/>
      <c r="L18" s="225"/>
      <c r="M18" s="225"/>
      <c r="N18" s="160" t="s">
        <v>153</v>
      </c>
      <c r="O18" s="237"/>
      <c r="P18" s="237"/>
      <c r="Q18" s="237"/>
      <c r="R18" s="161">
        <f>(22.5*0.75)</f>
        <v>16.875</v>
      </c>
      <c r="S18" s="160" t="s">
        <v>414</v>
      </c>
      <c r="T18" s="234"/>
      <c r="U18" s="162" t="s">
        <v>445</v>
      </c>
    </row>
    <row r="19" spans="1:21" ht="12.75" customHeight="1" x14ac:dyDescent="0.15">
      <c r="A19" s="240"/>
      <c r="B19" s="239"/>
      <c r="C19" s="160" t="s">
        <v>139</v>
      </c>
      <c r="D19" s="231"/>
      <c r="E19" s="231"/>
      <c r="F19" s="231"/>
      <c r="G19" s="161">
        <f>(19.1*0.75)</f>
        <v>14.325000000000001</v>
      </c>
      <c r="H19" s="160" t="s">
        <v>414</v>
      </c>
      <c r="I19" s="234"/>
      <c r="J19" s="162"/>
      <c r="K19" s="169"/>
      <c r="L19" s="225"/>
      <c r="M19" s="225"/>
      <c r="N19" s="160" t="s">
        <v>91</v>
      </c>
      <c r="O19" s="237"/>
      <c r="P19" s="237"/>
      <c r="Q19" s="237"/>
      <c r="R19" s="161">
        <f>(22.1*0.75)</f>
        <v>16.575000000000003</v>
      </c>
      <c r="S19" s="160" t="s">
        <v>414</v>
      </c>
      <c r="T19" s="234"/>
      <c r="U19" s="162" t="s">
        <v>446</v>
      </c>
    </row>
    <row r="20" spans="1:21" ht="12.75" customHeight="1" x14ac:dyDescent="0.15">
      <c r="A20" s="240"/>
      <c r="B20" s="239"/>
      <c r="C20" s="160" t="s">
        <v>38</v>
      </c>
      <c r="D20" s="231"/>
      <c r="E20" s="231"/>
      <c r="F20" s="231"/>
      <c r="G20" s="161">
        <f>(91.9*0.75)</f>
        <v>68.925000000000011</v>
      </c>
      <c r="H20" s="160" t="s">
        <v>414</v>
      </c>
      <c r="I20" s="234"/>
      <c r="J20" s="162"/>
      <c r="K20" s="169"/>
      <c r="L20" s="225"/>
      <c r="M20" s="225"/>
      <c r="N20" s="160"/>
      <c r="O20" s="237"/>
      <c r="P20" s="237"/>
      <c r="Q20" s="237"/>
      <c r="R20" s="161">
        <f>(69.3*0.75)</f>
        <v>51.974999999999994</v>
      </c>
      <c r="S20" s="160" t="s">
        <v>414</v>
      </c>
      <c r="T20" s="234"/>
      <c r="U20" s="162"/>
    </row>
    <row r="21" spans="1:21" ht="12.75" customHeight="1" x14ac:dyDescent="0.15">
      <c r="A21" s="240"/>
      <c r="B21" s="239"/>
      <c r="C21" s="165" t="s">
        <v>142</v>
      </c>
      <c r="D21" s="232"/>
      <c r="E21" s="232"/>
      <c r="F21" s="232"/>
      <c r="G21" s="166">
        <f>(1.4*0.75)</f>
        <v>1.0499999999999998</v>
      </c>
      <c r="H21" s="165" t="s">
        <v>414</v>
      </c>
      <c r="I21" s="235"/>
      <c r="J21" s="167"/>
      <c r="K21" s="169"/>
      <c r="L21" s="225"/>
      <c r="M21" s="225"/>
      <c r="N21" s="165"/>
      <c r="O21" s="237"/>
      <c r="P21" s="237"/>
      <c r="Q21" s="237"/>
      <c r="R21" s="166">
        <f>(2.7*0.75)</f>
        <v>2.0250000000000004</v>
      </c>
      <c r="S21" s="165" t="s">
        <v>414</v>
      </c>
      <c r="T21" s="235"/>
      <c r="U21" s="167"/>
    </row>
    <row r="22" spans="1:21" ht="12.75" customHeight="1" x14ac:dyDescent="0.15">
      <c r="A22" s="236">
        <v>5</v>
      </c>
      <c r="B22" s="239" t="s">
        <v>439</v>
      </c>
      <c r="C22" s="171" t="s">
        <v>147</v>
      </c>
      <c r="D22" s="230" t="s">
        <v>447</v>
      </c>
      <c r="E22" s="230" t="s">
        <v>441</v>
      </c>
      <c r="F22" s="230" t="s">
        <v>442</v>
      </c>
      <c r="G22" s="156">
        <f>(566*0.75)</f>
        <v>424.5</v>
      </c>
      <c r="H22" s="168" t="s">
        <v>422</v>
      </c>
      <c r="I22" s="233" t="s">
        <v>443</v>
      </c>
      <c r="J22" s="158" t="s">
        <v>52</v>
      </c>
      <c r="K22" s="159"/>
      <c r="L22" s="225">
        <v>20</v>
      </c>
      <c r="M22" s="225" t="s">
        <v>448</v>
      </c>
      <c r="N22" s="157" t="s">
        <v>18</v>
      </c>
      <c r="O22" s="237" t="s">
        <v>449</v>
      </c>
      <c r="P22" s="237" t="s">
        <v>450</v>
      </c>
      <c r="Q22" s="237" t="s">
        <v>451</v>
      </c>
      <c r="R22" s="156">
        <f>(627*0.75)</f>
        <v>470.25</v>
      </c>
      <c r="S22" s="168" t="s">
        <v>422</v>
      </c>
      <c r="T22" s="233" t="s">
        <v>413</v>
      </c>
      <c r="U22" s="158" t="s">
        <v>52</v>
      </c>
    </row>
    <row r="23" spans="1:21" ht="12.75" customHeight="1" x14ac:dyDescent="0.15">
      <c r="A23" s="240"/>
      <c r="B23" s="239"/>
      <c r="C23" s="160" t="s">
        <v>153</v>
      </c>
      <c r="D23" s="231"/>
      <c r="E23" s="231"/>
      <c r="F23" s="231"/>
      <c r="G23" s="161">
        <f>(22.5*0.75)</f>
        <v>16.875</v>
      </c>
      <c r="H23" s="160" t="s">
        <v>414</v>
      </c>
      <c r="I23" s="234"/>
      <c r="J23" s="162" t="s">
        <v>452</v>
      </c>
      <c r="K23" s="169"/>
      <c r="L23" s="225"/>
      <c r="M23" s="225"/>
      <c r="N23" s="172" t="s">
        <v>160</v>
      </c>
      <c r="O23" s="237"/>
      <c r="P23" s="237"/>
      <c r="Q23" s="237"/>
      <c r="R23" s="161">
        <f>(22.9*0.75)</f>
        <v>17.174999999999997</v>
      </c>
      <c r="S23" s="160" t="s">
        <v>414</v>
      </c>
      <c r="T23" s="234"/>
      <c r="U23" s="162" t="s">
        <v>453</v>
      </c>
    </row>
    <row r="24" spans="1:21" ht="12.75" customHeight="1" x14ac:dyDescent="0.15">
      <c r="A24" s="240"/>
      <c r="B24" s="239"/>
      <c r="C24" s="160" t="s">
        <v>91</v>
      </c>
      <c r="D24" s="231"/>
      <c r="E24" s="231"/>
      <c r="F24" s="231"/>
      <c r="G24" s="161">
        <f>(22.1*0.75)</f>
        <v>16.575000000000003</v>
      </c>
      <c r="H24" s="160" t="s">
        <v>414</v>
      </c>
      <c r="I24" s="234"/>
      <c r="J24" s="162"/>
      <c r="K24" s="169"/>
      <c r="L24" s="225"/>
      <c r="M24" s="225"/>
      <c r="N24" s="160" t="s">
        <v>163</v>
      </c>
      <c r="O24" s="237"/>
      <c r="P24" s="237"/>
      <c r="Q24" s="237"/>
      <c r="R24" s="161">
        <f>(18.7*0.75)</f>
        <v>14.024999999999999</v>
      </c>
      <c r="S24" s="160" t="s">
        <v>414</v>
      </c>
      <c r="T24" s="234"/>
      <c r="U24" s="162"/>
    </row>
    <row r="25" spans="1:21" ht="12.75" customHeight="1" x14ac:dyDescent="0.15">
      <c r="A25" s="240"/>
      <c r="B25" s="239"/>
      <c r="C25" s="160"/>
      <c r="D25" s="231"/>
      <c r="E25" s="231"/>
      <c r="F25" s="231"/>
      <c r="G25" s="161">
        <f>(69.3*0.75)</f>
        <v>51.974999999999994</v>
      </c>
      <c r="H25" s="160" t="s">
        <v>414</v>
      </c>
      <c r="I25" s="234"/>
      <c r="J25" s="162"/>
      <c r="K25" s="169"/>
      <c r="L25" s="225"/>
      <c r="M25" s="225"/>
      <c r="N25" s="160" t="s">
        <v>63</v>
      </c>
      <c r="O25" s="237"/>
      <c r="P25" s="237"/>
      <c r="Q25" s="237"/>
      <c r="R25" s="161">
        <f>(88.6*0.75)</f>
        <v>66.449999999999989</v>
      </c>
      <c r="S25" s="160" t="s">
        <v>414</v>
      </c>
      <c r="T25" s="234"/>
      <c r="U25" s="162"/>
    </row>
    <row r="26" spans="1:21" ht="12.75" customHeight="1" x14ac:dyDescent="0.15">
      <c r="A26" s="240"/>
      <c r="B26" s="239"/>
      <c r="C26" s="165"/>
      <c r="D26" s="232"/>
      <c r="E26" s="232"/>
      <c r="F26" s="232"/>
      <c r="G26" s="166">
        <f>(2.7*0.75)</f>
        <v>2.0250000000000004</v>
      </c>
      <c r="H26" s="165" t="s">
        <v>414</v>
      </c>
      <c r="I26" s="235"/>
      <c r="J26" s="167"/>
      <c r="K26" s="169"/>
      <c r="L26" s="225"/>
      <c r="M26" s="225"/>
      <c r="N26" s="165"/>
      <c r="O26" s="237"/>
      <c r="P26" s="237"/>
      <c r="Q26" s="237"/>
      <c r="R26" s="166">
        <f>(1.7*0.75)</f>
        <v>1.2749999999999999</v>
      </c>
      <c r="S26" s="165" t="s">
        <v>414</v>
      </c>
      <c r="T26" s="235"/>
      <c r="U26" s="167" t="s">
        <v>454</v>
      </c>
    </row>
    <row r="27" spans="1:21" ht="12.75" customHeight="1" x14ac:dyDescent="0.15">
      <c r="A27" s="225">
        <v>6</v>
      </c>
      <c r="B27" s="239" t="s">
        <v>448</v>
      </c>
      <c r="C27" s="157" t="s">
        <v>18</v>
      </c>
      <c r="D27" s="230" t="s">
        <v>455</v>
      </c>
      <c r="E27" s="230" t="s">
        <v>456</v>
      </c>
      <c r="F27" s="230" t="s">
        <v>457</v>
      </c>
      <c r="G27" s="156">
        <f>(645*0.75)</f>
        <v>483.75</v>
      </c>
      <c r="H27" s="168" t="s">
        <v>422</v>
      </c>
      <c r="I27" s="233" t="s">
        <v>458</v>
      </c>
      <c r="J27" s="158" t="s">
        <v>52</v>
      </c>
      <c r="K27" s="159"/>
      <c r="L27" s="173"/>
      <c r="M27" s="174"/>
      <c r="N27" s="174"/>
      <c r="O27" s="174"/>
      <c r="P27" s="174"/>
      <c r="Q27" s="174"/>
      <c r="R27" s="175"/>
      <c r="S27" s="174"/>
      <c r="T27" s="176"/>
      <c r="U27" s="176"/>
    </row>
    <row r="28" spans="1:21" ht="12.75" customHeight="1" x14ac:dyDescent="0.15">
      <c r="A28" s="238"/>
      <c r="B28" s="239"/>
      <c r="C28" s="172" t="s">
        <v>160</v>
      </c>
      <c r="D28" s="231"/>
      <c r="E28" s="231"/>
      <c r="F28" s="231"/>
      <c r="G28" s="161">
        <f>(26.2*0.75)</f>
        <v>19.649999999999999</v>
      </c>
      <c r="H28" s="160" t="s">
        <v>414</v>
      </c>
      <c r="I28" s="234"/>
      <c r="J28" s="162" t="s">
        <v>459</v>
      </c>
      <c r="K28" s="169"/>
      <c r="L28" s="177"/>
      <c r="M28" s="178"/>
      <c r="N28" s="178"/>
      <c r="O28" s="178"/>
      <c r="P28" s="178"/>
      <c r="Q28" s="178"/>
      <c r="R28" s="179"/>
      <c r="S28" s="178"/>
      <c r="T28" s="180"/>
      <c r="U28" s="180"/>
    </row>
    <row r="29" spans="1:21" ht="12.75" customHeight="1" x14ac:dyDescent="0.15">
      <c r="A29" s="238"/>
      <c r="B29" s="239"/>
      <c r="C29" s="160" t="s">
        <v>163</v>
      </c>
      <c r="D29" s="231"/>
      <c r="E29" s="231"/>
      <c r="F29" s="231"/>
      <c r="G29" s="161">
        <f>(23*0.75)</f>
        <v>17.25</v>
      </c>
      <c r="H29" s="160" t="s">
        <v>414</v>
      </c>
      <c r="I29" s="234"/>
      <c r="J29" s="162" t="s">
        <v>446</v>
      </c>
      <c r="K29" s="169"/>
      <c r="L29" s="225">
        <v>24</v>
      </c>
      <c r="M29" s="225" t="s">
        <v>409</v>
      </c>
      <c r="N29" s="157" t="s">
        <v>18</v>
      </c>
      <c r="O29" s="237" t="s">
        <v>460</v>
      </c>
      <c r="P29" s="237" t="s">
        <v>461</v>
      </c>
      <c r="Q29" s="237" t="s">
        <v>462</v>
      </c>
      <c r="R29" s="156">
        <f>(598*0.75)</f>
        <v>448.5</v>
      </c>
      <c r="S29" s="168" t="s">
        <v>422</v>
      </c>
      <c r="T29" s="233" t="s">
        <v>463</v>
      </c>
      <c r="U29" s="158" t="s">
        <v>52</v>
      </c>
    </row>
    <row r="30" spans="1:21" ht="12.75" customHeight="1" x14ac:dyDescent="0.15">
      <c r="A30" s="238"/>
      <c r="B30" s="239"/>
      <c r="C30" s="160" t="s">
        <v>63</v>
      </c>
      <c r="D30" s="231"/>
      <c r="E30" s="231"/>
      <c r="F30" s="231"/>
      <c r="G30" s="161">
        <f>(80.9*0.75)</f>
        <v>60.675000000000004</v>
      </c>
      <c r="H30" s="160" t="s">
        <v>414</v>
      </c>
      <c r="I30" s="234"/>
      <c r="J30" s="162"/>
      <c r="K30" s="169"/>
      <c r="L30" s="225"/>
      <c r="M30" s="225"/>
      <c r="N30" s="170" t="s">
        <v>190</v>
      </c>
      <c r="O30" s="237"/>
      <c r="P30" s="237"/>
      <c r="Q30" s="237"/>
      <c r="R30" s="161">
        <f>(21.2*0.75)</f>
        <v>15.899999999999999</v>
      </c>
      <c r="S30" s="160" t="s">
        <v>414</v>
      </c>
      <c r="T30" s="234"/>
      <c r="U30" s="162" t="s">
        <v>464</v>
      </c>
    </row>
    <row r="31" spans="1:21" ht="12.75" customHeight="1" x14ac:dyDescent="0.15">
      <c r="A31" s="238"/>
      <c r="B31" s="239"/>
      <c r="C31" s="165"/>
      <c r="D31" s="232"/>
      <c r="E31" s="232"/>
      <c r="F31" s="232"/>
      <c r="G31" s="166">
        <f>(2.1*0.75)</f>
        <v>1.5750000000000002</v>
      </c>
      <c r="H31" s="165" t="s">
        <v>414</v>
      </c>
      <c r="I31" s="235"/>
      <c r="J31" s="167"/>
      <c r="K31" s="169"/>
      <c r="L31" s="225"/>
      <c r="M31" s="225"/>
      <c r="N31" s="160" t="s">
        <v>256</v>
      </c>
      <c r="O31" s="237"/>
      <c r="P31" s="237"/>
      <c r="Q31" s="237"/>
      <c r="R31" s="161">
        <f>(15.3*0.75)</f>
        <v>11.475000000000001</v>
      </c>
      <c r="S31" s="160" t="s">
        <v>414</v>
      </c>
      <c r="T31" s="234"/>
      <c r="U31" s="162"/>
    </row>
    <row r="32" spans="1:21" ht="12.75" customHeight="1" x14ac:dyDescent="0.15">
      <c r="A32" s="173"/>
      <c r="B32" s="174"/>
      <c r="C32" s="174"/>
      <c r="D32" s="174"/>
      <c r="E32" s="174"/>
      <c r="F32" s="174"/>
      <c r="G32" s="175"/>
      <c r="H32" s="174"/>
      <c r="I32" s="176"/>
      <c r="J32" s="176"/>
      <c r="K32" s="159"/>
      <c r="L32" s="225"/>
      <c r="M32" s="225"/>
      <c r="N32" s="160" t="s">
        <v>63</v>
      </c>
      <c r="O32" s="237"/>
      <c r="P32" s="237"/>
      <c r="Q32" s="237"/>
      <c r="R32" s="161">
        <f>(92.4*0.75)</f>
        <v>69.300000000000011</v>
      </c>
      <c r="S32" s="160" t="s">
        <v>414</v>
      </c>
      <c r="T32" s="234"/>
      <c r="U32" s="162"/>
    </row>
    <row r="33" spans="1:21" ht="12.75" customHeight="1" x14ac:dyDescent="0.15">
      <c r="A33" s="177"/>
      <c r="B33" s="178"/>
      <c r="C33" s="178"/>
      <c r="D33" s="178"/>
      <c r="E33" s="178"/>
      <c r="F33" s="178"/>
      <c r="G33" s="179"/>
      <c r="H33" s="178"/>
      <c r="I33" s="180"/>
      <c r="J33" s="180"/>
      <c r="K33" s="169"/>
      <c r="L33" s="225"/>
      <c r="M33" s="225"/>
      <c r="N33" s="165" t="s">
        <v>249</v>
      </c>
      <c r="O33" s="237"/>
      <c r="P33" s="237"/>
      <c r="Q33" s="237"/>
      <c r="R33" s="166">
        <f>(2.5*0.75)</f>
        <v>1.875</v>
      </c>
      <c r="S33" s="165" t="s">
        <v>414</v>
      </c>
      <c r="T33" s="235"/>
      <c r="U33" s="167"/>
    </row>
    <row r="34" spans="1:21" ht="12.75" customHeight="1" x14ac:dyDescent="0.15">
      <c r="A34" s="225">
        <v>9</v>
      </c>
      <c r="B34" s="239" t="s">
        <v>403</v>
      </c>
      <c r="C34" s="171" t="s">
        <v>178</v>
      </c>
      <c r="D34" s="230" t="s">
        <v>465</v>
      </c>
      <c r="E34" s="230" t="s">
        <v>466</v>
      </c>
      <c r="F34" s="230" t="s">
        <v>467</v>
      </c>
      <c r="G34" s="156">
        <f>(637*0.75)</f>
        <v>477.75</v>
      </c>
      <c r="H34" s="168" t="s">
        <v>422</v>
      </c>
      <c r="I34" s="233" t="s">
        <v>408</v>
      </c>
      <c r="J34" s="158" t="s">
        <v>52</v>
      </c>
      <c r="K34" s="169"/>
      <c r="L34" s="225">
        <v>25</v>
      </c>
      <c r="M34" s="225" t="s">
        <v>50</v>
      </c>
      <c r="N34" s="181" t="s">
        <v>201</v>
      </c>
      <c r="O34" s="237" t="s">
        <v>468</v>
      </c>
      <c r="P34" s="237" t="s">
        <v>469</v>
      </c>
      <c r="Q34" s="237" t="s">
        <v>470</v>
      </c>
      <c r="R34" s="156">
        <f>(614*0.75)</f>
        <v>460.5</v>
      </c>
      <c r="S34" s="168" t="s">
        <v>422</v>
      </c>
      <c r="T34" s="233" t="s">
        <v>458</v>
      </c>
      <c r="U34" s="158" t="s">
        <v>52</v>
      </c>
    </row>
    <row r="35" spans="1:21" ht="12.75" customHeight="1" x14ac:dyDescent="0.15">
      <c r="A35" s="238"/>
      <c r="B35" s="239"/>
      <c r="C35" s="160" t="s">
        <v>186</v>
      </c>
      <c r="D35" s="231"/>
      <c r="E35" s="231"/>
      <c r="F35" s="231"/>
      <c r="G35" s="161">
        <f>(24.3*0.75)</f>
        <v>18.225000000000001</v>
      </c>
      <c r="H35" s="160" t="s">
        <v>414</v>
      </c>
      <c r="I35" s="234"/>
      <c r="J35" s="162" t="s">
        <v>471</v>
      </c>
      <c r="K35" s="169"/>
      <c r="L35" s="225"/>
      <c r="M35" s="225"/>
      <c r="N35" s="160" t="s">
        <v>206</v>
      </c>
      <c r="O35" s="237"/>
      <c r="P35" s="237"/>
      <c r="Q35" s="237"/>
      <c r="R35" s="161">
        <f>(18.9*0.75)</f>
        <v>14.174999999999999</v>
      </c>
      <c r="S35" s="160" t="s">
        <v>414</v>
      </c>
      <c r="T35" s="234"/>
      <c r="U35" s="162" t="s">
        <v>472</v>
      </c>
    </row>
    <row r="36" spans="1:21" ht="12.75" customHeight="1" x14ac:dyDescent="0.15">
      <c r="A36" s="238"/>
      <c r="B36" s="239"/>
      <c r="C36" s="160" t="s">
        <v>87</v>
      </c>
      <c r="D36" s="231"/>
      <c r="E36" s="231"/>
      <c r="F36" s="231"/>
      <c r="G36" s="161">
        <f>(22.1*0.75)</f>
        <v>16.575000000000003</v>
      </c>
      <c r="H36" s="160" t="s">
        <v>414</v>
      </c>
      <c r="I36" s="234"/>
      <c r="J36" s="162"/>
      <c r="K36" s="169"/>
      <c r="L36" s="225"/>
      <c r="M36" s="225"/>
      <c r="N36" s="160" t="s">
        <v>210</v>
      </c>
      <c r="O36" s="237"/>
      <c r="P36" s="237"/>
      <c r="Q36" s="237"/>
      <c r="R36" s="161">
        <f>(19.5*0.75)</f>
        <v>14.625</v>
      </c>
      <c r="S36" s="160" t="s">
        <v>414</v>
      </c>
      <c r="T36" s="234"/>
      <c r="U36" s="162"/>
    </row>
    <row r="37" spans="1:21" ht="12.75" customHeight="1" x14ac:dyDescent="0.15">
      <c r="A37" s="238"/>
      <c r="B37" s="239"/>
      <c r="C37" s="160"/>
      <c r="D37" s="231"/>
      <c r="E37" s="231"/>
      <c r="F37" s="231"/>
      <c r="G37" s="161">
        <f>(82.7*0.75)</f>
        <v>62.025000000000006</v>
      </c>
      <c r="H37" s="160" t="s">
        <v>414</v>
      </c>
      <c r="I37" s="234"/>
      <c r="J37" s="162"/>
      <c r="K37" s="159"/>
      <c r="L37" s="225"/>
      <c r="M37" s="225"/>
      <c r="N37" s="160" t="s">
        <v>91</v>
      </c>
      <c r="O37" s="237"/>
      <c r="P37" s="237"/>
      <c r="Q37" s="237"/>
      <c r="R37" s="161">
        <f>(89.1*0.75)</f>
        <v>66.824999999999989</v>
      </c>
      <c r="S37" s="160" t="s">
        <v>414</v>
      </c>
      <c r="T37" s="234"/>
      <c r="U37" s="162"/>
    </row>
    <row r="38" spans="1:21" ht="12.75" customHeight="1" x14ac:dyDescent="0.15">
      <c r="A38" s="238"/>
      <c r="B38" s="239"/>
      <c r="C38" s="165"/>
      <c r="D38" s="232"/>
      <c r="E38" s="232"/>
      <c r="F38" s="232"/>
      <c r="G38" s="166">
        <f>(2*0.75)</f>
        <v>1.5</v>
      </c>
      <c r="H38" s="165" t="s">
        <v>414</v>
      </c>
      <c r="I38" s="235"/>
      <c r="J38" s="167"/>
      <c r="K38" s="169"/>
      <c r="L38" s="225"/>
      <c r="M38" s="225"/>
      <c r="N38" s="165"/>
      <c r="O38" s="237"/>
      <c r="P38" s="237"/>
      <c r="Q38" s="237"/>
      <c r="R38" s="166">
        <f>(1.3*0.75)</f>
        <v>0.97500000000000009</v>
      </c>
      <c r="S38" s="165" t="s">
        <v>414</v>
      </c>
      <c r="T38" s="235"/>
      <c r="U38" s="167"/>
    </row>
    <row r="39" spans="1:21" ht="12.75" customHeight="1" x14ac:dyDescent="0.15">
      <c r="A39" s="225">
        <v>10</v>
      </c>
      <c r="B39" s="239" t="s">
        <v>409</v>
      </c>
      <c r="C39" s="157" t="s">
        <v>18</v>
      </c>
      <c r="D39" s="230" t="s">
        <v>473</v>
      </c>
      <c r="E39" s="230" t="s">
        <v>474</v>
      </c>
      <c r="F39" s="230" t="s">
        <v>475</v>
      </c>
      <c r="G39" s="156">
        <f>(601*0.75)</f>
        <v>450.75</v>
      </c>
      <c r="H39" s="168" t="s">
        <v>422</v>
      </c>
      <c r="I39" s="233" t="s">
        <v>463</v>
      </c>
      <c r="J39" s="158" t="s">
        <v>52</v>
      </c>
      <c r="K39" s="169"/>
      <c r="L39" s="225">
        <v>26</v>
      </c>
      <c r="M39" s="225" t="s">
        <v>439</v>
      </c>
      <c r="N39" s="157" t="s">
        <v>18</v>
      </c>
      <c r="O39" s="237" t="s">
        <v>476</v>
      </c>
      <c r="P39" s="237" t="s">
        <v>477</v>
      </c>
      <c r="Q39" s="237" t="s">
        <v>478</v>
      </c>
      <c r="R39" s="156">
        <f>(602*0.75)</f>
        <v>451.5</v>
      </c>
      <c r="S39" s="168" t="s">
        <v>422</v>
      </c>
      <c r="T39" s="233" t="s">
        <v>479</v>
      </c>
      <c r="U39" s="158" t="s">
        <v>52</v>
      </c>
    </row>
    <row r="40" spans="1:21" ht="12.75" customHeight="1" x14ac:dyDescent="0.15">
      <c r="A40" s="238"/>
      <c r="B40" s="239"/>
      <c r="C40" s="170" t="s">
        <v>190</v>
      </c>
      <c r="D40" s="231"/>
      <c r="E40" s="231"/>
      <c r="F40" s="231"/>
      <c r="G40" s="161">
        <f>(22*0.75)</f>
        <v>16.5</v>
      </c>
      <c r="H40" s="160" t="s">
        <v>414</v>
      </c>
      <c r="I40" s="234"/>
      <c r="J40" s="162" t="s">
        <v>464</v>
      </c>
      <c r="K40" s="169"/>
      <c r="L40" s="225"/>
      <c r="M40" s="225"/>
      <c r="N40" s="170" t="s">
        <v>213</v>
      </c>
      <c r="O40" s="237"/>
      <c r="P40" s="237"/>
      <c r="Q40" s="237"/>
      <c r="R40" s="161">
        <f>(23.3*0.75)</f>
        <v>17.475000000000001</v>
      </c>
      <c r="S40" s="160" t="s">
        <v>414</v>
      </c>
      <c r="T40" s="234"/>
      <c r="U40" s="162" t="s">
        <v>471</v>
      </c>
    </row>
    <row r="41" spans="1:21" ht="12.75" customHeight="1" x14ac:dyDescent="0.15">
      <c r="A41" s="238"/>
      <c r="B41" s="239"/>
      <c r="C41" s="160" t="s">
        <v>195</v>
      </c>
      <c r="D41" s="231"/>
      <c r="E41" s="231"/>
      <c r="F41" s="231"/>
      <c r="G41" s="161">
        <f>(18.6*0.75)</f>
        <v>13.950000000000001</v>
      </c>
      <c r="H41" s="160" t="s">
        <v>414</v>
      </c>
      <c r="I41" s="234"/>
      <c r="J41" s="162"/>
      <c r="K41" s="169"/>
      <c r="L41" s="225"/>
      <c r="M41" s="225"/>
      <c r="N41" s="160" t="s">
        <v>217</v>
      </c>
      <c r="O41" s="237"/>
      <c r="P41" s="237"/>
      <c r="Q41" s="237"/>
      <c r="R41" s="161">
        <f>(15.6*0.75)</f>
        <v>11.7</v>
      </c>
      <c r="S41" s="160" t="s">
        <v>414</v>
      </c>
      <c r="T41" s="234"/>
      <c r="U41" s="162"/>
    </row>
    <row r="42" spans="1:21" ht="12.75" customHeight="1" x14ac:dyDescent="0.15">
      <c r="A42" s="238"/>
      <c r="B42" s="239"/>
      <c r="C42" s="160" t="s">
        <v>63</v>
      </c>
      <c r="D42" s="231"/>
      <c r="E42" s="231"/>
      <c r="F42" s="231"/>
      <c r="G42" s="161">
        <f>(84.5*0.75)</f>
        <v>63.375</v>
      </c>
      <c r="H42" s="160" t="s">
        <v>414</v>
      </c>
      <c r="I42" s="234"/>
      <c r="J42" s="162"/>
      <c r="K42" s="159"/>
      <c r="L42" s="225"/>
      <c r="M42" s="225"/>
      <c r="N42" s="160" t="s">
        <v>63</v>
      </c>
      <c r="O42" s="237"/>
      <c r="P42" s="237"/>
      <c r="Q42" s="237"/>
      <c r="R42" s="161">
        <f>(87.8*0.75)</f>
        <v>65.849999999999994</v>
      </c>
      <c r="S42" s="160" t="s">
        <v>414</v>
      </c>
      <c r="T42" s="234"/>
      <c r="U42" s="162"/>
    </row>
    <row r="43" spans="1:21" ht="12.75" customHeight="1" x14ac:dyDescent="0.15">
      <c r="A43" s="238"/>
      <c r="B43" s="239"/>
      <c r="C43" s="165" t="s">
        <v>44</v>
      </c>
      <c r="D43" s="232"/>
      <c r="E43" s="232"/>
      <c r="F43" s="232"/>
      <c r="G43" s="166">
        <f>(2.4*0.75)</f>
        <v>1.7999999999999998</v>
      </c>
      <c r="H43" s="165" t="s">
        <v>414</v>
      </c>
      <c r="I43" s="235"/>
      <c r="J43" s="167"/>
      <c r="K43" s="169"/>
      <c r="L43" s="225"/>
      <c r="M43" s="225"/>
      <c r="N43" s="165" t="s">
        <v>44</v>
      </c>
      <c r="O43" s="237"/>
      <c r="P43" s="237"/>
      <c r="Q43" s="237"/>
      <c r="R43" s="166">
        <f>(1.4*0.75)</f>
        <v>1.0499999999999998</v>
      </c>
      <c r="S43" s="165" t="s">
        <v>414</v>
      </c>
      <c r="T43" s="235"/>
      <c r="U43" s="167"/>
    </row>
    <row r="44" spans="1:21" ht="12.75" customHeight="1" x14ac:dyDescent="0.15">
      <c r="A44" s="225">
        <v>11</v>
      </c>
      <c r="B44" s="239" t="s">
        <v>50</v>
      </c>
      <c r="C44" s="181" t="s">
        <v>201</v>
      </c>
      <c r="D44" s="230" t="s">
        <v>480</v>
      </c>
      <c r="E44" s="230" t="s">
        <v>481</v>
      </c>
      <c r="F44" s="230" t="s">
        <v>482</v>
      </c>
      <c r="G44" s="156">
        <f>(617*0.75)</f>
        <v>462.75</v>
      </c>
      <c r="H44" s="168" t="s">
        <v>422</v>
      </c>
      <c r="I44" s="233" t="s">
        <v>458</v>
      </c>
      <c r="J44" s="158" t="s">
        <v>52</v>
      </c>
      <c r="K44" s="169"/>
      <c r="L44" s="225">
        <v>27</v>
      </c>
      <c r="M44" s="225" t="s">
        <v>448</v>
      </c>
      <c r="N44" s="172" t="s">
        <v>262</v>
      </c>
      <c r="O44" s="237" t="s">
        <v>483</v>
      </c>
      <c r="P44" s="237" t="s">
        <v>484</v>
      </c>
      <c r="Q44" s="237" t="s">
        <v>485</v>
      </c>
      <c r="R44" s="156">
        <f>(589*0.75)</f>
        <v>441.75</v>
      </c>
      <c r="S44" s="168" t="s">
        <v>422</v>
      </c>
      <c r="T44" s="233" t="s">
        <v>458</v>
      </c>
      <c r="U44" s="158" t="s">
        <v>52</v>
      </c>
    </row>
    <row r="45" spans="1:21" ht="12.75" customHeight="1" x14ac:dyDescent="0.15">
      <c r="A45" s="238"/>
      <c r="B45" s="239"/>
      <c r="C45" s="160" t="s">
        <v>206</v>
      </c>
      <c r="D45" s="231"/>
      <c r="E45" s="231"/>
      <c r="F45" s="231"/>
      <c r="G45" s="161">
        <f>(18.9*0.75)</f>
        <v>14.174999999999999</v>
      </c>
      <c r="H45" s="160" t="s">
        <v>414</v>
      </c>
      <c r="I45" s="234"/>
      <c r="J45" s="162" t="s">
        <v>472</v>
      </c>
      <c r="K45" s="169"/>
      <c r="L45" s="225"/>
      <c r="M45" s="225"/>
      <c r="N45" s="160" t="s">
        <v>226</v>
      </c>
      <c r="O45" s="237"/>
      <c r="P45" s="237"/>
      <c r="Q45" s="237"/>
      <c r="R45" s="161">
        <f>(18.6*0.75)</f>
        <v>13.950000000000001</v>
      </c>
      <c r="S45" s="160" t="s">
        <v>414</v>
      </c>
      <c r="T45" s="234"/>
      <c r="U45" s="162" t="s">
        <v>486</v>
      </c>
    </row>
    <row r="46" spans="1:21" ht="12.75" customHeight="1" x14ac:dyDescent="0.15">
      <c r="A46" s="238"/>
      <c r="B46" s="239"/>
      <c r="C46" s="160" t="s">
        <v>210</v>
      </c>
      <c r="D46" s="231"/>
      <c r="E46" s="231"/>
      <c r="F46" s="231"/>
      <c r="G46" s="161">
        <f>(19.5*0.75)</f>
        <v>14.625</v>
      </c>
      <c r="H46" s="160" t="s">
        <v>414</v>
      </c>
      <c r="I46" s="234"/>
      <c r="J46" s="162"/>
      <c r="K46" s="169"/>
      <c r="L46" s="225"/>
      <c r="M46" s="225"/>
      <c r="N46" s="160" t="s">
        <v>142</v>
      </c>
      <c r="O46" s="237"/>
      <c r="P46" s="237"/>
      <c r="Q46" s="237"/>
      <c r="R46" s="161">
        <f>(16.4*0.75)</f>
        <v>12.299999999999999</v>
      </c>
      <c r="S46" s="160" t="s">
        <v>414</v>
      </c>
      <c r="T46" s="234"/>
      <c r="U46" s="162" t="s">
        <v>446</v>
      </c>
    </row>
    <row r="47" spans="1:21" ht="12.75" customHeight="1" x14ac:dyDescent="0.15">
      <c r="A47" s="238"/>
      <c r="B47" s="239"/>
      <c r="C47" s="160" t="s">
        <v>169</v>
      </c>
      <c r="D47" s="231"/>
      <c r="E47" s="231"/>
      <c r="F47" s="231"/>
      <c r="G47" s="161">
        <f>(90*0.75)</f>
        <v>67.5</v>
      </c>
      <c r="H47" s="160" t="s">
        <v>414</v>
      </c>
      <c r="I47" s="234"/>
      <c r="J47" s="162"/>
      <c r="K47" s="159"/>
      <c r="L47" s="225"/>
      <c r="M47" s="225"/>
      <c r="N47" s="160"/>
      <c r="O47" s="237"/>
      <c r="P47" s="237"/>
      <c r="Q47" s="237"/>
      <c r="R47" s="161">
        <f>(89.7*0.75)</f>
        <v>67.275000000000006</v>
      </c>
      <c r="S47" s="160" t="s">
        <v>414</v>
      </c>
      <c r="T47" s="234"/>
      <c r="U47" s="162"/>
    </row>
    <row r="48" spans="1:21" ht="12.75" customHeight="1" x14ac:dyDescent="0.15">
      <c r="A48" s="238"/>
      <c r="B48" s="239"/>
      <c r="C48" s="165"/>
      <c r="D48" s="232"/>
      <c r="E48" s="232"/>
      <c r="F48" s="232"/>
      <c r="G48" s="166">
        <f>(1.3*0.75)</f>
        <v>0.97500000000000009</v>
      </c>
      <c r="H48" s="165" t="s">
        <v>414</v>
      </c>
      <c r="I48" s="235"/>
      <c r="J48" s="167"/>
      <c r="K48" s="169"/>
      <c r="L48" s="225"/>
      <c r="M48" s="225"/>
      <c r="N48" s="165"/>
      <c r="O48" s="237"/>
      <c r="P48" s="237"/>
      <c r="Q48" s="237"/>
      <c r="R48" s="166">
        <f>(1.7*0.75)</f>
        <v>1.2749999999999999</v>
      </c>
      <c r="S48" s="165" t="s">
        <v>414</v>
      </c>
      <c r="T48" s="235"/>
      <c r="U48" s="167"/>
    </row>
    <row r="49" spans="1:21" ht="12.75" customHeight="1" x14ac:dyDescent="0.15">
      <c r="A49" s="225">
        <v>12</v>
      </c>
      <c r="B49" s="239" t="s">
        <v>439</v>
      </c>
      <c r="C49" s="182" t="s">
        <v>18</v>
      </c>
      <c r="D49" s="230" t="s">
        <v>487</v>
      </c>
      <c r="E49" s="230" t="s">
        <v>488</v>
      </c>
      <c r="F49" s="230" t="s">
        <v>489</v>
      </c>
      <c r="G49" s="156">
        <f>(585*0.75)</f>
        <v>438.75</v>
      </c>
      <c r="H49" s="168" t="s">
        <v>422</v>
      </c>
      <c r="I49" s="233" t="s">
        <v>479</v>
      </c>
      <c r="J49" s="158" t="s">
        <v>52</v>
      </c>
      <c r="K49" s="169"/>
      <c r="L49" s="173"/>
      <c r="M49" s="174"/>
      <c r="N49" s="174"/>
      <c r="O49" s="174"/>
      <c r="P49" s="174"/>
      <c r="Q49" s="174"/>
      <c r="R49" s="175"/>
      <c r="S49" s="174"/>
      <c r="T49" s="176"/>
      <c r="U49" s="176"/>
    </row>
    <row r="50" spans="1:21" ht="12.75" customHeight="1" x14ac:dyDescent="0.15">
      <c r="A50" s="238"/>
      <c r="B50" s="239"/>
      <c r="C50" s="170" t="s">
        <v>213</v>
      </c>
      <c r="D50" s="231"/>
      <c r="E50" s="231"/>
      <c r="F50" s="231"/>
      <c r="G50" s="161">
        <f>(22.1*0.75)</f>
        <v>16.575000000000003</v>
      </c>
      <c r="H50" s="160" t="s">
        <v>414</v>
      </c>
      <c r="I50" s="234"/>
      <c r="J50" s="162" t="s">
        <v>490</v>
      </c>
      <c r="K50" s="169"/>
      <c r="L50" s="177"/>
      <c r="M50" s="178"/>
      <c r="N50" s="178"/>
      <c r="O50" s="178"/>
      <c r="P50" s="178"/>
      <c r="Q50" s="178"/>
      <c r="R50" s="179"/>
      <c r="S50" s="178"/>
      <c r="T50" s="180"/>
      <c r="U50" s="180"/>
    </row>
    <row r="51" spans="1:21" ht="12.75" customHeight="1" x14ac:dyDescent="0.15">
      <c r="A51" s="238"/>
      <c r="B51" s="239"/>
      <c r="C51" s="160" t="s">
        <v>217</v>
      </c>
      <c r="D51" s="231"/>
      <c r="E51" s="231"/>
      <c r="F51" s="231"/>
      <c r="G51" s="161">
        <f>(14.4*0.75)</f>
        <v>10.8</v>
      </c>
      <c r="H51" s="160" t="s">
        <v>414</v>
      </c>
      <c r="I51" s="234"/>
      <c r="J51" s="162"/>
      <c r="K51" s="169"/>
      <c r="L51" s="236">
        <v>30</v>
      </c>
      <c r="M51" s="225" t="s">
        <v>403</v>
      </c>
      <c r="N51" s="155" t="s">
        <v>68</v>
      </c>
      <c r="O51" s="237" t="s">
        <v>491</v>
      </c>
      <c r="P51" s="237" t="s">
        <v>405</v>
      </c>
      <c r="Q51" s="237" t="s">
        <v>406</v>
      </c>
      <c r="R51" s="156">
        <f>(634*0.75)</f>
        <v>475.5</v>
      </c>
      <c r="S51" s="168" t="s">
        <v>422</v>
      </c>
      <c r="T51" s="233" t="s">
        <v>408</v>
      </c>
      <c r="U51" s="158" t="s">
        <v>52</v>
      </c>
    </row>
    <row r="52" spans="1:21" ht="12.75" customHeight="1" x14ac:dyDescent="0.15">
      <c r="A52" s="238"/>
      <c r="B52" s="239"/>
      <c r="C52" s="160" t="s">
        <v>63</v>
      </c>
      <c r="D52" s="231"/>
      <c r="E52" s="231"/>
      <c r="F52" s="231"/>
      <c r="G52" s="161">
        <f>(88*0.75)</f>
        <v>66</v>
      </c>
      <c r="H52" s="160" t="s">
        <v>414</v>
      </c>
      <c r="I52" s="234"/>
      <c r="J52" s="162"/>
      <c r="K52" s="159"/>
      <c r="L52" s="236"/>
      <c r="M52" s="225"/>
      <c r="N52" s="160" t="s">
        <v>80</v>
      </c>
      <c r="O52" s="237"/>
      <c r="P52" s="237"/>
      <c r="Q52" s="237"/>
      <c r="R52" s="161">
        <f>(21.2*0.75)</f>
        <v>15.899999999999999</v>
      </c>
      <c r="S52" s="160" t="s">
        <v>414</v>
      </c>
      <c r="T52" s="234"/>
      <c r="U52" s="162" t="s">
        <v>415</v>
      </c>
    </row>
    <row r="53" spans="1:21" ht="12.75" customHeight="1" x14ac:dyDescent="0.15">
      <c r="A53" s="238"/>
      <c r="B53" s="239"/>
      <c r="C53" s="165" t="s">
        <v>91</v>
      </c>
      <c r="D53" s="232"/>
      <c r="E53" s="232"/>
      <c r="F53" s="232"/>
      <c r="G53" s="166">
        <f>(1.4*0.75)</f>
        <v>1.0499999999999998</v>
      </c>
      <c r="H53" s="165" t="s">
        <v>414</v>
      </c>
      <c r="I53" s="235"/>
      <c r="J53" s="167"/>
      <c r="K53" s="169"/>
      <c r="L53" s="236"/>
      <c r="M53" s="225"/>
      <c r="N53" s="160" t="s">
        <v>87</v>
      </c>
      <c r="O53" s="237"/>
      <c r="P53" s="237"/>
      <c r="Q53" s="237"/>
      <c r="R53" s="161">
        <f>(19.3*0.75)</f>
        <v>14.475000000000001</v>
      </c>
      <c r="S53" s="160" t="s">
        <v>414</v>
      </c>
      <c r="T53" s="234"/>
      <c r="U53" s="162"/>
    </row>
    <row r="54" spans="1:21" ht="12.75" customHeight="1" x14ac:dyDescent="0.15">
      <c r="A54" s="227" t="s">
        <v>492</v>
      </c>
      <c r="B54" s="229" t="s">
        <v>426</v>
      </c>
      <c r="C54" s="183" t="s">
        <v>493</v>
      </c>
      <c r="D54" s="230" t="s">
        <v>494</v>
      </c>
      <c r="E54" s="230" t="s">
        <v>484</v>
      </c>
      <c r="F54" s="230" t="s">
        <v>485</v>
      </c>
      <c r="G54" s="156">
        <f>(633*0.75)</f>
        <v>474.75</v>
      </c>
      <c r="H54" s="168" t="s">
        <v>422</v>
      </c>
      <c r="I54" s="233" t="s">
        <v>458</v>
      </c>
      <c r="J54" s="158" t="s">
        <v>52</v>
      </c>
      <c r="K54" s="169"/>
      <c r="L54" s="236"/>
      <c r="M54" s="225"/>
      <c r="N54" s="160" t="s">
        <v>91</v>
      </c>
      <c r="O54" s="237"/>
      <c r="P54" s="237"/>
      <c r="Q54" s="237"/>
      <c r="R54" s="161">
        <f>(91.1*0.75)</f>
        <v>68.324999999999989</v>
      </c>
      <c r="S54" s="160" t="s">
        <v>414</v>
      </c>
      <c r="T54" s="234"/>
      <c r="U54" s="162"/>
    </row>
    <row r="55" spans="1:21" ht="12.75" customHeight="1" x14ac:dyDescent="0.15">
      <c r="A55" s="228"/>
      <c r="B55" s="229"/>
      <c r="C55" s="160" t="s">
        <v>226</v>
      </c>
      <c r="D55" s="231"/>
      <c r="E55" s="231"/>
      <c r="F55" s="231"/>
      <c r="G55" s="161">
        <f>(19*0.75)</f>
        <v>14.25</v>
      </c>
      <c r="H55" s="160" t="s">
        <v>414</v>
      </c>
      <c r="I55" s="234"/>
      <c r="J55" s="162" t="s">
        <v>495</v>
      </c>
      <c r="K55" s="169"/>
      <c r="L55" s="236"/>
      <c r="M55" s="225"/>
      <c r="N55" s="165"/>
      <c r="O55" s="237"/>
      <c r="P55" s="237"/>
      <c r="Q55" s="237"/>
      <c r="R55" s="166">
        <f>(2*0.75)</f>
        <v>1.5</v>
      </c>
      <c r="S55" s="165" t="s">
        <v>414</v>
      </c>
      <c r="T55" s="235"/>
      <c r="U55" s="167"/>
    </row>
    <row r="56" spans="1:21" ht="12.75" customHeight="1" x14ac:dyDescent="0.15">
      <c r="A56" s="228"/>
      <c r="B56" s="229"/>
      <c r="C56" s="160" t="s">
        <v>142</v>
      </c>
      <c r="D56" s="231"/>
      <c r="E56" s="231"/>
      <c r="F56" s="231"/>
      <c r="G56" s="161">
        <f>(16.9*0.75)</f>
        <v>12.674999999999999</v>
      </c>
      <c r="H56" s="160" t="s">
        <v>414</v>
      </c>
      <c r="I56" s="234"/>
      <c r="J56" s="162" t="s">
        <v>496</v>
      </c>
      <c r="K56" s="169"/>
      <c r="T56" s="185"/>
    </row>
    <row r="57" spans="1:21" ht="12.75" customHeight="1" x14ac:dyDescent="0.15">
      <c r="A57" s="228"/>
      <c r="B57" s="229"/>
      <c r="C57" s="160"/>
      <c r="D57" s="231"/>
      <c r="E57" s="231"/>
      <c r="F57" s="231"/>
      <c r="G57" s="161">
        <f>(99.4*0.75)</f>
        <v>74.550000000000011</v>
      </c>
      <c r="H57" s="160" t="s">
        <v>414</v>
      </c>
      <c r="I57" s="234"/>
      <c r="J57" s="162"/>
      <c r="K57" s="159"/>
      <c r="L57" s="224" t="s">
        <v>497</v>
      </c>
      <c r="M57" s="224"/>
      <c r="N57" s="224"/>
      <c r="O57" s="224"/>
      <c r="P57" s="224"/>
      <c r="Q57" s="224"/>
      <c r="R57" s="224"/>
      <c r="S57" s="224"/>
      <c r="T57" s="224"/>
      <c r="U57" s="224"/>
    </row>
    <row r="58" spans="1:21" ht="12.75" customHeight="1" x14ac:dyDescent="0.15">
      <c r="A58" s="228"/>
      <c r="B58" s="229"/>
      <c r="C58" s="165"/>
      <c r="D58" s="232"/>
      <c r="E58" s="232"/>
      <c r="F58" s="232"/>
      <c r="G58" s="166">
        <f>(2*0.75)</f>
        <v>1.5</v>
      </c>
      <c r="H58" s="165" t="s">
        <v>414</v>
      </c>
      <c r="I58" s="235"/>
      <c r="J58" s="167" t="s">
        <v>498</v>
      </c>
      <c r="K58" s="169"/>
      <c r="L58" s="186" t="s">
        <v>499</v>
      </c>
      <c r="M58" s="187"/>
      <c r="N58" s="188"/>
      <c r="O58" s="189"/>
      <c r="P58" s="189"/>
      <c r="Q58" s="189"/>
      <c r="R58" s="190"/>
      <c r="S58" s="188"/>
      <c r="T58" s="191"/>
      <c r="U58" s="192"/>
    </row>
    <row r="59" spans="1:21" ht="12.75" customHeight="1" x14ac:dyDescent="0.15">
      <c r="A59" s="225" t="s">
        <v>500</v>
      </c>
      <c r="B59" s="225"/>
      <c r="C59" s="193" t="s">
        <v>501</v>
      </c>
      <c r="D59" s="194" t="s">
        <v>502</v>
      </c>
      <c r="E59" s="195"/>
      <c r="F59" s="195"/>
      <c r="G59" s="163"/>
      <c r="H59" s="169"/>
      <c r="I59" s="169"/>
      <c r="J59" s="169"/>
      <c r="K59" s="169"/>
      <c r="L59" s="196" t="s">
        <v>503</v>
      </c>
      <c r="M59" s="187"/>
      <c r="N59" s="188"/>
      <c r="O59" s="189"/>
      <c r="P59" s="189"/>
      <c r="Q59" s="189"/>
      <c r="R59" s="190"/>
      <c r="S59" s="188"/>
      <c r="T59" s="191"/>
      <c r="U59" s="192"/>
    </row>
    <row r="60" spans="1:21" ht="12.75" customHeight="1" x14ac:dyDescent="0.15">
      <c r="A60" s="225"/>
      <c r="B60" s="225"/>
      <c r="C60" s="193" t="s">
        <v>504</v>
      </c>
      <c r="D60" s="197" t="s">
        <v>505</v>
      </c>
      <c r="E60" s="197" t="s">
        <v>506</v>
      </c>
      <c r="F60" s="197" t="s">
        <v>507</v>
      </c>
      <c r="G60" s="225" t="s">
        <v>508</v>
      </c>
      <c r="H60" s="225"/>
      <c r="I60" s="198" t="s">
        <v>509</v>
      </c>
      <c r="J60" s="169"/>
      <c r="K60" s="169"/>
      <c r="L60" s="196" t="s">
        <v>510</v>
      </c>
      <c r="M60" s="187"/>
      <c r="N60" s="188"/>
      <c r="O60" s="189"/>
      <c r="P60" s="189"/>
      <c r="Q60" s="189"/>
      <c r="R60" s="190"/>
      <c r="S60" s="188"/>
      <c r="T60" s="191"/>
      <c r="U60" s="192"/>
    </row>
    <row r="61" spans="1:21" ht="12.75" customHeight="1" x14ac:dyDescent="0.15">
      <c r="A61" s="199" t="s">
        <v>511</v>
      </c>
      <c r="B61" s="200" t="s">
        <v>512</v>
      </c>
      <c r="C61" s="193" t="s">
        <v>513</v>
      </c>
      <c r="D61" s="201">
        <f>18428/30</f>
        <v>614.26666666666665</v>
      </c>
      <c r="E61" s="202">
        <f>652.200000000001/30</f>
        <v>21.74000000000003</v>
      </c>
      <c r="F61" s="202">
        <f>565.700000000001/30</f>
        <v>18.856666666666698</v>
      </c>
      <c r="G61" s="226">
        <f>2608.7/30</f>
        <v>86.956666666666663</v>
      </c>
      <c r="H61" s="226"/>
      <c r="I61" s="203">
        <f>52.9000000000002/30</f>
        <v>1.7633333333333399</v>
      </c>
      <c r="K61" s="169"/>
      <c r="L61" s="159" t="s">
        <v>514</v>
      </c>
    </row>
    <row r="62" spans="1:21" ht="12.75" customHeight="1" x14ac:dyDescent="0.15">
      <c r="A62" s="199" t="s">
        <v>515</v>
      </c>
      <c r="B62" s="200" t="s">
        <v>512</v>
      </c>
      <c r="C62" s="193" t="s">
        <v>516</v>
      </c>
      <c r="D62" s="201">
        <f>(18428*0.75)/30</f>
        <v>460.7</v>
      </c>
      <c r="E62" s="202">
        <f>(652.200000000001*0.75)/30</f>
        <v>16.305000000000025</v>
      </c>
      <c r="F62" s="202">
        <f>(565.700000000001*0.75)/30</f>
        <v>14.142500000000023</v>
      </c>
      <c r="G62" s="226">
        <f>(2608.7*0.75)/30</f>
        <v>65.217500000000001</v>
      </c>
      <c r="H62" s="226"/>
      <c r="I62" s="203">
        <f>(52.9000000000002*0.75)/30</f>
        <v>1.3225000000000049</v>
      </c>
      <c r="K62" s="159"/>
      <c r="L62" s="159" t="s">
        <v>517</v>
      </c>
      <c r="M62" s="204"/>
      <c r="N62" s="204"/>
      <c r="O62" s="204"/>
      <c r="P62" s="204"/>
      <c r="Q62" s="204"/>
      <c r="R62" s="151"/>
      <c r="U62" s="204"/>
    </row>
    <row r="63" spans="1:21" ht="12.75" customHeight="1" x14ac:dyDescent="0.15">
      <c r="A63" s="205"/>
      <c r="B63" s="206"/>
      <c r="C63" s="207"/>
      <c r="D63" s="208"/>
      <c r="E63" s="209"/>
      <c r="F63" s="209"/>
      <c r="G63" s="210"/>
      <c r="H63" s="169"/>
      <c r="J63" s="210"/>
      <c r="K63" s="169"/>
      <c r="L63" s="159" t="s">
        <v>518</v>
      </c>
      <c r="M63" s="211"/>
      <c r="N63" s="187"/>
      <c r="O63" s="212"/>
      <c r="P63" s="212"/>
      <c r="Q63" s="212"/>
      <c r="R63" s="151"/>
      <c r="U63" s="152"/>
    </row>
    <row r="64" spans="1:21" ht="12.75" customHeight="1" x14ac:dyDescent="0.15">
      <c r="A64" s="184"/>
      <c r="H64" s="169"/>
      <c r="K64" s="169"/>
      <c r="L64" s="159" t="s">
        <v>519</v>
      </c>
      <c r="M64" s="211"/>
      <c r="N64" s="187"/>
      <c r="O64" s="212"/>
      <c r="P64" s="212"/>
      <c r="Q64" s="212"/>
      <c r="U64" s="212"/>
    </row>
    <row r="65" spans="1:21" ht="12.75" customHeight="1" x14ac:dyDescent="0.15">
      <c r="A65" s="184"/>
      <c r="K65" s="169"/>
      <c r="L65" s="184" t="s">
        <v>520</v>
      </c>
      <c r="M65" s="213"/>
      <c r="N65" s="213"/>
      <c r="O65" s="213"/>
      <c r="P65" s="213"/>
      <c r="Q65" s="213"/>
      <c r="U65" s="213"/>
    </row>
    <row r="66" spans="1:21" ht="12.75" customHeight="1" x14ac:dyDescent="0.15">
      <c r="K66" s="169"/>
      <c r="L66" s="184" t="s">
        <v>521</v>
      </c>
      <c r="M66" s="213"/>
      <c r="N66" s="213"/>
      <c r="O66" s="213"/>
      <c r="P66" s="213"/>
      <c r="Q66" s="213"/>
      <c r="U66" s="213"/>
    </row>
    <row r="67" spans="1:21" ht="12.75" customHeight="1" x14ac:dyDescent="0.15">
      <c r="K67" s="159"/>
      <c r="L67" s="184" t="s">
        <v>522</v>
      </c>
      <c r="M67" s="163"/>
      <c r="N67" s="169"/>
      <c r="O67" s="214"/>
      <c r="P67" s="214"/>
      <c r="Q67" s="214"/>
      <c r="U67" s="215"/>
    </row>
    <row r="68" spans="1:21" ht="12.75" customHeight="1" x14ac:dyDescent="0.15">
      <c r="K68" s="169"/>
      <c r="M68" s="169"/>
      <c r="N68" s="169"/>
      <c r="O68" s="169"/>
      <c r="P68" s="169"/>
      <c r="Q68" s="169"/>
      <c r="U68" s="169"/>
    </row>
    <row r="69" spans="1:21" ht="12.75" customHeight="1" x14ac:dyDescent="0.15">
      <c r="K69" s="169"/>
    </row>
    <row r="70" spans="1:21" ht="12.75" customHeight="1" x14ac:dyDescent="0.15">
      <c r="K70" s="169"/>
    </row>
    <row r="71" spans="1:21" ht="12.75" customHeight="1" x14ac:dyDescent="0.15">
      <c r="K71" s="169"/>
    </row>
    <row r="72" spans="1:21" ht="12.75" customHeight="1" x14ac:dyDescent="0.15">
      <c r="K72" s="159"/>
      <c r="P72" s="152"/>
    </row>
    <row r="73" spans="1:21" ht="12.75" customHeight="1" x14ac:dyDescent="0.15">
      <c r="K73" s="169"/>
      <c r="P73" s="152"/>
    </row>
    <row r="74" spans="1:21" ht="12.75" customHeight="1" x14ac:dyDescent="0.15">
      <c r="K74" s="169"/>
      <c r="P74" s="152"/>
    </row>
    <row r="75" spans="1:21" ht="12.75" customHeight="1" x14ac:dyDescent="0.15">
      <c r="K75" s="169"/>
      <c r="P75" s="152"/>
    </row>
    <row r="76" spans="1:21" ht="12.75" customHeight="1" x14ac:dyDescent="0.15">
      <c r="K76" s="169"/>
      <c r="P76" s="152"/>
    </row>
    <row r="77" spans="1:21" ht="12.75" customHeight="1" x14ac:dyDescent="0.15">
      <c r="K77" s="159"/>
      <c r="P77" s="152"/>
    </row>
    <row r="78" spans="1:21" ht="12.75" customHeight="1" x14ac:dyDescent="0.15">
      <c r="K78" s="169"/>
    </row>
    <row r="79" spans="1:21" ht="12.75" customHeight="1" x14ac:dyDescent="0.15">
      <c r="K79" s="169"/>
    </row>
    <row r="80" spans="1:21" ht="12.75" customHeight="1" x14ac:dyDescent="0.15">
      <c r="K80" s="169"/>
    </row>
    <row r="81" spans="11:11" ht="12.75" customHeight="1" x14ac:dyDescent="0.15">
      <c r="K81" s="169"/>
    </row>
    <row r="82" spans="11:11" ht="12.75" customHeight="1" x14ac:dyDescent="0.15">
      <c r="K82" s="169"/>
    </row>
    <row r="83" spans="11:11" ht="12.75" customHeight="1" x14ac:dyDescent="0.15">
      <c r="K83" s="169"/>
    </row>
    <row r="84" spans="11:11" ht="12.75" customHeight="1" x14ac:dyDescent="0.15">
      <c r="K84" s="169"/>
    </row>
    <row r="85" spans="11:11" ht="12.75" customHeight="1" x14ac:dyDescent="0.15">
      <c r="K85" s="169"/>
    </row>
    <row r="86" spans="11:11" ht="12.75" customHeight="1" x14ac:dyDescent="0.15">
      <c r="K86" s="169"/>
    </row>
    <row r="87" spans="11:11" ht="12.75" customHeight="1" x14ac:dyDescent="0.15">
      <c r="K87" s="169"/>
    </row>
    <row r="88" spans="11:11" ht="12.75" customHeight="1" x14ac:dyDescent="0.15"/>
    <row r="89" spans="11:11" ht="12.75" customHeight="1" x14ac:dyDescent="0.15"/>
    <row r="90" spans="11:11" ht="12.75" customHeight="1" x14ac:dyDescent="0.15"/>
  </sheetData>
  <mergeCells count="141">
    <mergeCell ref="L2:L6"/>
    <mergeCell ref="D3:D6"/>
    <mergeCell ref="E3:E6"/>
    <mergeCell ref="F3:F6"/>
    <mergeCell ref="G3:H6"/>
    <mergeCell ref="I3:I6"/>
    <mergeCell ref="J3:J6"/>
    <mergeCell ref="A2:A6"/>
    <mergeCell ref="B2:B6"/>
    <mergeCell ref="C2:C6"/>
    <mergeCell ref="D2:F2"/>
    <mergeCell ref="G2:I2"/>
    <mergeCell ref="O3:O6"/>
    <mergeCell ref="P3:P6"/>
    <mergeCell ref="Q3:Q6"/>
    <mergeCell ref="R3:S6"/>
    <mergeCell ref="T3:T6"/>
    <mergeCell ref="U3:U6"/>
    <mergeCell ref="M2:M6"/>
    <mergeCell ref="N2:N6"/>
    <mergeCell ref="O2:Q2"/>
    <mergeCell ref="R2:T2"/>
    <mergeCell ref="L7:L11"/>
    <mergeCell ref="M7:M11"/>
    <mergeCell ref="O7:O11"/>
    <mergeCell ref="P7:P11"/>
    <mergeCell ref="Q7:Q11"/>
    <mergeCell ref="T7:T11"/>
    <mergeCell ref="A7:A11"/>
    <mergeCell ref="B7:B11"/>
    <mergeCell ref="D7:D11"/>
    <mergeCell ref="E7:E11"/>
    <mergeCell ref="F7:F11"/>
    <mergeCell ref="I7:I11"/>
    <mergeCell ref="L12:L16"/>
    <mergeCell ref="M12:M16"/>
    <mergeCell ref="O12:O16"/>
    <mergeCell ref="P12:P16"/>
    <mergeCell ref="Q12:Q16"/>
    <mergeCell ref="T12:T16"/>
    <mergeCell ref="A12:A16"/>
    <mergeCell ref="B12:B16"/>
    <mergeCell ref="D12:D16"/>
    <mergeCell ref="E12:E16"/>
    <mergeCell ref="F12:F16"/>
    <mergeCell ref="I12:I16"/>
    <mergeCell ref="L17:L21"/>
    <mergeCell ref="M17:M21"/>
    <mergeCell ref="O17:O21"/>
    <mergeCell ref="P17:P21"/>
    <mergeCell ref="Q17:Q21"/>
    <mergeCell ref="T17:T21"/>
    <mergeCell ref="A17:A21"/>
    <mergeCell ref="B17:B21"/>
    <mergeCell ref="D17:D21"/>
    <mergeCell ref="E17:E21"/>
    <mergeCell ref="F17:F21"/>
    <mergeCell ref="I17:I21"/>
    <mergeCell ref="L22:L26"/>
    <mergeCell ref="M22:M26"/>
    <mergeCell ref="O22:O26"/>
    <mergeCell ref="P22:P26"/>
    <mergeCell ref="Q22:Q26"/>
    <mergeCell ref="T22:T26"/>
    <mergeCell ref="A22:A26"/>
    <mergeCell ref="B22:B26"/>
    <mergeCell ref="D22:D26"/>
    <mergeCell ref="E22:E26"/>
    <mergeCell ref="F22:F26"/>
    <mergeCell ref="I22:I26"/>
    <mergeCell ref="L29:L33"/>
    <mergeCell ref="M29:M33"/>
    <mergeCell ref="O29:O33"/>
    <mergeCell ref="P29:P33"/>
    <mergeCell ref="Q29:Q33"/>
    <mergeCell ref="T29:T33"/>
    <mergeCell ref="A27:A31"/>
    <mergeCell ref="B27:B31"/>
    <mergeCell ref="D27:D31"/>
    <mergeCell ref="E27:E31"/>
    <mergeCell ref="F27:F31"/>
    <mergeCell ref="I27:I31"/>
    <mergeCell ref="L34:L38"/>
    <mergeCell ref="M34:M38"/>
    <mergeCell ref="O34:O38"/>
    <mergeCell ref="P34:P38"/>
    <mergeCell ref="Q34:Q38"/>
    <mergeCell ref="T34:T38"/>
    <mergeCell ref="A34:A38"/>
    <mergeCell ref="B34:B38"/>
    <mergeCell ref="D34:D38"/>
    <mergeCell ref="E34:E38"/>
    <mergeCell ref="F34:F38"/>
    <mergeCell ref="I34:I38"/>
    <mergeCell ref="L39:L43"/>
    <mergeCell ref="M39:M43"/>
    <mergeCell ref="O39:O43"/>
    <mergeCell ref="P39:P43"/>
    <mergeCell ref="Q39:Q43"/>
    <mergeCell ref="T39:T43"/>
    <mergeCell ref="A39:A43"/>
    <mergeCell ref="B39:B43"/>
    <mergeCell ref="D39:D43"/>
    <mergeCell ref="E39:E43"/>
    <mergeCell ref="F39:F43"/>
    <mergeCell ref="I39:I43"/>
    <mergeCell ref="L44:L48"/>
    <mergeCell ref="M44:M48"/>
    <mergeCell ref="O44:O48"/>
    <mergeCell ref="P44:P48"/>
    <mergeCell ref="Q44:Q48"/>
    <mergeCell ref="T44:T48"/>
    <mergeCell ref="A44:A48"/>
    <mergeCell ref="B44:B48"/>
    <mergeCell ref="D44:D48"/>
    <mergeCell ref="E44:E48"/>
    <mergeCell ref="F44:F48"/>
    <mergeCell ref="I44:I48"/>
    <mergeCell ref="L57:U57"/>
    <mergeCell ref="A59:B60"/>
    <mergeCell ref="G60:H60"/>
    <mergeCell ref="G61:H61"/>
    <mergeCell ref="G62:H62"/>
    <mergeCell ref="A54:A58"/>
    <mergeCell ref="B54:B58"/>
    <mergeCell ref="D54:D58"/>
    <mergeCell ref="E54:E58"/>
    <mergeCell ref="F54:F58"/>
    <mergeCell ref="I54:I58"/>
    <mergeCell ref="L51:L55"/>
    <mergeCell ref="M51:M55"/>
    <mergeCell ref="O51:O55"/>
    <mergeCell ref="P51:P55"/>
    <mergeCell ref="Q51:Q55"/>
    <mergeCell ref="T51:T55"/>
    <mergeCell ref="A49:A53"/>
    <mergeCell ref="B49:B53"/>
    <mergeCell ref="D49:D53"/>
    <mergeCell ref="E49:E53"/>
    <mergeCell ref="F49:F53"/>
    <mergeCell ref="I49:I53"/>
  </mergeCells>
  <phoneticPr fontId="21"/>
  <printOptions horizontalCentered="1" verticalCentered="1"/>
  <pageMargins left="0" right="0" top="0.39370078740157483" bottom="0" header="0.19685039370078741" footer="0.19685039370078741"/>
  <pageSetup paperSize="9" scale="6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146</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337</v>
      </c>
      <c r="C7" s="99" t="s">
        <v>75</v>
      </c>
      <c r="D7" s="99" t="s">
        <v>55</v>
      </c>
      <c r="E7" s="43"/>
      <c r="F7" s="119"/>
      <c r="G7" s="134"/>
      <c r="H7" s="113">
        <v>15</v>
      </c>
      <c r="I7" s="125" t="s">
        <v>337</v>
      </c>
      <c r="J7" s="108" t="s">
        <v>167</v>
      </c>
      <c r="K7" s="138">
        <v>15</v>
      </c>
      <c r="L7" s="134" t="s">
        <v>336</v>
      </c>
      <c r="M7" s="99" t="s">
        <v>150</v>
      </c>
      <c r="N7" s="113">
        <v>10</v>
      </c>
      <c r="O7" s="109" t="s">
        <v>151</v>
      </c>
    </row>
    <row r="8" spans="1:21" ht="20.100000000000001" customHeight="1" x14ac:dyDescent="0.15">
      <c r="A8" s="379"/>
      <c r="B8" s="96"/>
      <c r="C8" s="96" t="s">
        <v>150</v>
      </c>
      <c r="D8" s="96" t="s">
        <v>151</v>
      </c>
      <c r="E8" s="55" t="s">
        <v>335</v>
      </c>
      <c r="F8" s="121"/>
      <c r="G8" s="136"/>
      <c r="H8" s="115">
        <v>20</v>
      </c>
      <c r="I8" s="127"/>
      <c r="J8" s="96" t="s">
        <v>150</v>
      </c>
      <c r="K8" s="141">
        <v>10</v>
      </c>
      <c r="L8" s="135"/>
      <c r="M8" s="97"/>
      <c r="N8" s="114"/>
      <c r="O8" s="110"/>
    </row>
    <row r="9" spans="1:21" ht="20.100000000000001" customHeight="1" x14ac:dyDescent="0.15">
      <c r="A9" s="379"/>
      <c r="B9" s="96"/>
      <c r="C9" s="96" t="s">
        <v>33</v>
      </c>
      <c r="D9" s="96"/>
      <c r="E9" s="55"/>
      <c r="F9" s="121"/>
      <c r="G9" s="136"/>
      <c r="H9" s="115">
        <v>20</v>
      </c>
      <c r="I9" s="127"/>
      <c r="J9" s="96" t="s">
        <v>33</v>
      </c>
      <c r="K9" s="141">
        <v>10</v>
      </c>
      <c r="L9" s="136" t="s">
        <v>334</v>
      </c>
      <c r="M9" s="96" t="s">
        <v>58</v>
      </c>
      <c r="N9" s="116">
        <v>0.1</v>
      </c>
      <c r="O9" s="111" t="s">
        <v>39</v>
      </c>
    </row>
    <row r="10" spans="1:21" ht="20.100000000000001" customHeight="1" x14ac:dyDescent="0.15">
      <c r="A10" s="379"/>
      <c r="B10" s="96"/>
      <c r="C10" s="96" t="s">
        <v>61</v>
      </c>
      <c r="D10" s="96"/>
      <c r="E10" s="55"/>
      <c r="F10" s="121"/>
      <c r="G10" s="136"/>
      <c r="H10" s="115">
        <v>5</v>
      </c>
      <c r="I10" s="127"/>
      <c r="J10" s="96" t="s">
        <v>61</v>
      </c>
      <c r="K10" s="141">
        <v>5</v>
      </c>
      <c r="L10" s="136"/>
      <c r="M10" s="96" t="s">
        <v>60</v>
      </c>
      <c r="N10" s="115">
        <v>10</v>
      </c>
      <c r="O10" s="111" t="s">
        <v>31</v>
      </c>
    </row>
    <row r="11" spans="1:21" ht="20.100000000000001" customHeight="1" x14ac:dyDescent="0.15">
      <c r="A11" s="379"/>
      <c r="B11" s="96"/>
      <c r="C11" s="96" t="s">
        <v>145</v>
      </c>
      <c r="D11" s="96"/>
      <c r="E11" s="55"/>
      <c r="F11" s="121"/>
      <c r="G11" s="136"/>
      <c r="H11" s="115">
        <v>5</v>
      </c>
      <c r="I11" s="127"/>
      <c r="J11" s="96"/>
      <c r="K11" s="141"/>
      <c r="L11" s="136"/>
      <c r="M11" s="96" t="s">
        <v>155</v>
      </c>
      <c r="N11" s="115">
        <v>10</v>
      </c>
      <c r="O11" s="111"/>
    </row>
    <row r="12" spans="1:21" ht="20.100000000000001" customHeight="1" x14ac:dyDescent="0.15">
      <c r="A12" s="379"/>
      <c r="B12" s="96"/>
      <c r="C12" s="96"/>
      <c r="D12" s="96"/>
      <c r="E12" s="55"/>
      <c r="F12" s="121"/>
      <c r="G12" s="136" t="s">
        <v>23</v>
      </c>
      <c r="H12" s="115" t="s">
        <v>292</v>
      </c>
      <c r="I12" s="127"/>
      <c r="J12" s="96"/>
      <c r="K12" s="141"/>
      <c r="L12" s="135"/>
      <c r="M12" s="97"/>
      <c r="N12" s="114"/>
      <c r="O12" s="110"/>
    </row>
    <row r="13" spans="1:21" ht="20.100000000000001" customHeight="1" x14ac:dyDescent="0.15">
      <c r="A13" s="379"/>
      <c r="B13" s="96"/>
      <c r="C13" s="96"/>
      <c r="D13" s="96"/>
      <c r="E13" s="55"/>
      <c r="F13" s="121" t="s">
        <v>26</v>
      </c>
      <c r="G13" s="136" t="s">
        <v>25</v>
      </c>
      <c r="H13" s="115" t="s">
        <v>294</v>
      </c>
      <c r="I13" s="127"/>
      <c r="J13" s="96"/>
      <c r="K13" s="141"/>
      <c r="L13" s="136" t="s">
        <v>333</v>
      </c>
      <c r="M13" s="96" t="s">
        <v>33</v>
      </c>
      <c r="N13" s="115">
        <v>10</v>
      </c>
      <c r="O13" s="111"/>
    </row>
    <row r="14" spans="1:21" ht="20.100000000000001" customHeight="1" x14ac:dyDescent="0.15">
      <c r="A14" s="379"/>
      <c r="B14" s="96"/>
      <c r="C14" s="96"/>
      <c r="D14" s="96"/>
      <c r="E14" s="55"/>
      <c r="F14" s="121"/>
      <c r="G14" s="136" t="s">
        <v>24</v>
      </c>
      <c r="H14" s="115" t="s">
        <v>294</v>
      </c>
      <c r="I14" s="127"/>
      <c r="J14" s="96"/>
      <c r="K14" s="141"/>
      <c r="L14" s="136"/>
      <c r="M14" s="96" t="s">
        <v>61</v>
      </c>
      <c r="N14" s="115">
        <v>5</v>
      </c>
      <c r="O14" s="111"/>
    </row>
    <row r="15" spans="1:21" ht="20.100000000000001" customHeight="1" x14ac:dyDescent="0.15">
      <c r="A15" s="379"/>
      <c r="B15" s="97"/>
      <c r="C15" s="97"/>
      <c r="D15" s="97"/>
      <c r="E15" s="49"/>
      <c r="F15" s="120"/>
      <c r="G15" s="135"/>
      <c r="H15" s="114"/>
      <c r="I15" s="126"/>
      <c r="J15" s="97"/>
      <c r="K15" s="139"/>
      <c r="L15" s="135"/>
      <c r="M15" s="97"/>
      <c r="N15" s="114"/>
      <c r="O15" s="110"/>
    </row>
    <row r="16" spans="1:21" ht="20.100000000000001" customHeight="1" x14ac:dyDescent="0.15">
      <c r="A16" s="379"/>
      <c r="B16" s="96" t="s">
        <v>332</v>
      </c>
      <c r="C16" s="96" t="s">
        <v>58</v>
      </c>
      <c r="D16" s="96" t="s">
        <v>39</v>
      </c>
      <c r="E16" s="55"/>
      <c r="F16" s="121"/>
      <c r="G16" s="136"/>
      <c r="H16" s="116">
        <v>0.1</v>
      </c>
      <c r="I16" s="127" t="s">
        <v>332</v>
      </c>
      <c r="J16" s="96" t="s">
        <v>58</v>
      </c>
      <c r="K16" s="140">
        <v>0.1</v>
      </c>
      <c r="L16" s="136" t="s">
        <v>91</v>
      </c>
      <c r="M16" s="96" t="s">
        <v>93</v>
      </c>
      <c r="N16" s="116">
        <v>0.1</v>
      </c>
      <c r="O16" s="111"/>
    </row>
    <row r="17" spans="1:15" ht="20.100000000000001" customHeight="1" x14ac:dyDescent="0.15">
      <c r="A17" s="379"/>
      <c r="B17" s="96"/>
      <c r="C17" s="96" t="s">
        <v>60</v>
      </c>
      <c r="D17" s="96" t="s">
        <v>31</v>
      </c>
      <c r="E17" s="55"/>
      <c r="F17" s="121"/>
      <c r="G17" s="136"/>
      <c r="H17" s="115">
        <v>10</v>
      </c>
      <c r="I17" s="127"/>
      <c r="J17" s="96" t="s">
        <v>60</v>
      </c>
      <c r="K17" s="141">
        <v>10</v>
      </c>
      <c r="L17" s="136"/>
      <c r="M17" s="96"/>
      <c r="N17" s="115"/>
      <c r="O17" s="111"/>
    </row>
    <row r="18" spans="1:15" ht="20.100000000000001" customHeight="1" x14ac:dyDescent="0.15">
      <c r="A18" s="379"/>
      <c r="B18" s="96"/>
      <c r="C18" s="96" t="s">
        <v>155</v>
      </c>
      <c r="D18" s="96"/>
      <c r="E18" s="55"/>
      <c r="F18" s="121"/>
      <c r="G18" s="136"/>
      <c r="H18" s="115">
        <v>10</v>
      </c>
      <c r="I18" s="127"/>
      <c r="J18" s="96" t="s">
        <v>155</v>
      </c>
      <c r="K18" s="141">
        <v>10</v>
      </c>
      <c r="L18" s="136"/>
      <c r="M18" s="96"/>
      <c r="N18" s="115"/>
      <c r="O18" s="111"/>
    </row>
    <row r="19" spans="1:15" ht="20.100000000000001" customHeight="1" x14ac:dyDescent="0.15">
      <c r="A19" s="379"/>
      <c r="B19" s="97"/>
      <c r="C19" s="97"/>
      <c r="D19" s="97"/>
      <c r="E19" s="49"/>
      <c r="F19" s="145"/>
      <c r="G19" s="135"/>
      <c r="H19" s="114"/>
      <c r="I19" s="126"/>
      <c r="J19" s="97"/>
      <c r="K19" s="139"/>
      <c r="L19" s="136"/>
      <c r="M19" s="96"/>
      <c r="N19" s="115"/>
      <c r="O19" s="111"/>
    </row>
    <row r="20" spans="1:15" ht="20.100000000000001" customHeight="1" x14ac:dyDescent="0.15">
      <c r="A20" s="379"/>
      <c r="B20" s="96" t="s">
        <v>91</v>
      </c>
      <c r="C20" s="96" t="s">
        <v>93</v>
      </c>
      <c r="D20" s="96"/>
      <c r="E20" s="55"/>
      <c r="F20" s="121"/>
      <c r="G20" s="136"/>
      <c r="H20" s="144">
        <v>0.13</v>
      </c>
      <c r="I20" s="127" t="s">
        <v>91</v>
      </c>
      <c r="J20" s="96" t="s">
        <v>93</v>
      </c>
      <c r="K20" s="143">
        <v>0.13</v>
      </c>
      <c r="L20" s="136"/>
      <c r="M20" s="96"/>
      <c r="N20" s="115"/>
      <c r="O20" s="111"/>
    </row>
    <row r="21" spans="1:15" ht="20.100000000000001" customHeight="1" thickBot="1" x14ac:dyDescent="0.2">
      <c r="A21" s="380"/>
      <c r="B21" s="95"/>
      <c r="C21" s="95"/>
      <c r="D21" s="95"/>
      <c r="E21" s="62"/>
      <c r="F21" s="123"/>
      <c r="G21" s="137"/>
      <c r="H21" s="117"/>
      <c r="I21" s="128"/>
      <c r="J21" s="95"/>
      <c r="K21" s="142"/>
      <c r="L21" s="137"/>
      <c r="M21" s="95"/>
      <c r="N21" s="117"/>
      <c r="O21" s="112"/>
    </row>
    <row r="22" spans="1:15" ht="14.25" x14ac:dyDescent="0.15">
      <c r="B22" s="94"/>
      <c r="C22" s="94"/>
      <c r="D22" s="94"/>
      <c r="G22" s="94"/>
      <c r="H22" s="93"/>
      <c r="I22" s="94"/>
      <c r="J22" s="94"/>
      <c r="K22" s="93"/>
      <c r="L22" s="94"/>
      <c r="M22" s="94"/>
      <c r="N22" s="93"/>
    </row>
    <row r="23" spans="1:15" ht="14.25" x14ac:dyDescent="0.15">
      <c r="B23" s="94"/>
      <c r="C23" s="94"/>
      <c r="D23" s="94"/>
      <c r="G23" s="94"/>
      <c r="H23" s="93"/>
      <c r="I23" s="94"/>
      <c r="J23" s="94"/>
      <c r="K23" s="93"/>
      <c r="L23" s="94"/>
      <c r="M23" s="94"/>
      <c r="N23" s="93"/>
    </row>
    <row r="24" spans="1:15" ht="14.25" x14ac:dyDescent="0.15">
      <c r="B24" s="94"/>
      <c r="C24" s="94"/>
      <c r="D24" s="94"/>
      <c r="G24" s="94"/>
      <c r="H24" s="93"/>
      <c r="I24" s="94"/>
      <c r="J24" s="94"/>
      <c r="K24" s="93"/>
      <c r="L24" s="94"/>
      <c r="M24" s="94"/>
      <c r="N24" s="93"/>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sheetData>
  <mergeCells count="13">
    <mergeCell ref="A7:A21"/>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159</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160</v>
      </c>
      <c r="C7" s="54" t="s">
        <v>108</v>
      </c>
      <c r="D7" s="55"/>
      <c r="E7" s="56">
        <v>40</v>
      </c>
      <c r="F7" s="57" t="s">
        <v>29</v>
      </c>
      <c r="G7" s="79" t="s">
        <v>55</v>
      </c>
      <c r="H7" s="83" t="s">
        <v>108</v>
      </c>
      <c r="I7" s="55"/>
      <c r="J7" s="57">
        <f>ROUNDUP(E7*0.75,2)</f>
        <v>30</v>
      </c>
      <c r="K7" s="57" t="s">
        <v>29</v>
      </c>
      <c r="L7" s="57" t="s">
        <v>55</v>
      </c>
      <c r="M7" s="57"/>
      <c r="N7" s="87">
        <f>M7</f>
        <v>0</v>
      </c>
      <c r="O7" s="75" t="s">
        <v>161</v>
      </c>
      <c r="P7" s="58" t="s">
        <v>37</v>
      </c>
      <c r="Q7" s="55"/>
      <c r="R7" s="59">
        <v>0.5</v>
      </c>
      <c r="S7" s="56">
        <f t="shared" ref="S7:S12" si="0">ROUNDUP(R7*0.75,2)</f>
        <v>0.38</v>
      </c>
      <c r="T7" s="71"/>
    </row>
    <row r="8" spans="1:21" ht="18.75" customHeight="1" x14ac:dyDescent="0.15">
      <c r="A8" s="359"/>
      <c r="B8" s="75"/>
      <c r="C8" s="54" t="s">
        <v>98</v>
      </c>
      <c r="D8" s="55"/>
      <c r="E8" s="56">
        <v>50</v>
      </c>
      <c r="F8" s="57" t="s">
        <v>29</v>
      </c>
      <c r="G8" s="79"/>
      <c r="H8" s="83" t="s">
        <v>98</v>
      </c>
      <c r="I8" s="55"/>
      <c r="J8" s="57">
        <f>ROUNDUP(E8*0.75,2)</f>
        <v>37.5</v>
      </c>
      <c r="K8" s="57" t="s">
        <v>29</v>
      </c>
      <c r="L8" s="57"/>
      <c r="M8" s="57"/>
      <c r="N8" s="87">
        <f>ROUND(M8+(M8*10/100),2)</f>
        <v>0</v>
      </c>
      <c r="O8" s="75" t="s">
        <v>162</v>
      </c>
      <c r="P8" s="58" t="s">
        <v>22</v>
      </c>
      <c r="Q8" s="55"/>
      <c r="R8" s="59">
        <v>2</v>
      </c>
      <c r="S8" s="56">
        <f t="shared" si="0"/>
        <v>1.5</v>
      </c>
      <c r="T8" s="71"/>
    </row>
    <row r="9" spans="1:21" ht="18.75" customHeight="1" x14ac:dyDescent="0.15">
      <c r="A9" s="359"/>
      <c r="B9" s="75"/>
      <c r="C9" s="54" t="s">
        <v>33</v>
      </c>
      <c r="D9" s="55"/>
      <c r="E9" s="56">
        <v>20</v>
      </c>
      <c r="F9" s="57" t="s">
        <v>29</v>
      </c>
      <c r="G9" s="79"/>
      <c r="H9" s="83" t="s">
        <v>33</v>
      </c>
      <c r="I9" s="55"/>
      <c r="J9" s="57">
        <f>ROUNDUP(E9*0.75,2)</f>
        <v>15</v>
      </c>
      <c r="K9" s="57" t="s">
        <v>29</v>
      </c>
      <c r="L9" s="57"/>
      <c r="M9" s="57"/>
      <c r="N9" s="87">
        <f>ROUND(M9+(M9*6/100),2)</f>
        <v>0</v>
      </c>
      <c r="O9" s="75" t="s">
        <v>19</v>
      </c>
      <c r="P9" s="58" t="s">
        <v>23</v>
      </c>
      <c r="Q9" s="55"/>
      <c r="R9" s="59">
        <v>30</v>
      </c>
      <c r="S9" s="56">
        <f t="shared" si="0"/>
        <v>22.5</v>
      </c>
      <c r="T9" s="71"/>
    </row>
    <row r="10" spans="1:21" ht="18.75" customHeight="1" x14ac:dyDescent="0.15">
      <c r="A10" s="359"/>
      <c r="B10" s="75"/>
      <c r="C10" s="54" t="s">
        <v>61</v>
      </c>
      <c r="D10" s="55"/>
      <c r="E10" s="56">
        <v>10</v>
      </c>
      <c r="F10" s="57" t="s">
        <v>29</v>
      </c>
      <c r="G10" s="79"/>
      <c r="H10" s="83" t="s">
        <v>61</v>
      </c>
      <c r="I10" s="55"/>
      <c r="J10" s="57">
        <f>ROUNDUP(E10*0.75,2)</f>
        <v>7.5</v>
      </c>
      <c r="K10" s="57" t="s">
        <v>29</v>
      </c>
      <c r="L10" s="57"/>
      <c r="M10" s="57"/>
      <c r="N10" s="87">
        <f>ROUND(M10+(M10*3/100),2)</f>
        <v>0</v>
      </c>
      <c r="O10" s="75"/>
      <c r="P10" s="58" t="s">
        <v>24</v>
      </c>
      <c r="Q10" s="55"/>
      <c r="R10" s="59">
        <v>2</v>
      </c>
      <c r="S10" s="56">
        <f t="shared" si="0"/>
        <v>1.5</v>
      </c>
      <c r="T10" s="71"/>
    </row>
    <row r="11" spans="1:21" ht="18.75" customHeight="1" x14ac:dyDescent="0.15">
      <c r="A11" s="359"/>
      <c r="B11" s="75"/>
      <c r="C11" s="54" t="s">
        <v>79</v>
      </c>
      <c r="D11" s="55"/>
      <c r="E11" s="56">
        <v>5</v>
      </c>
      <c r="F11" s="57" t="s">
        <v>29</v>
      </c>
      <c r="G11" s="79" t="s">
        <v>31</v>
      </c>
      <c r="H11" s="83" t="s">
        <v>79</v>
      </c>
      <c r="I11" s="55"/>
      <c r="J11" s="57">
        <f>ROUNDUP(E11*0.75,2)</f>
        <v>3.75</v>
      </c>
      <c r="K11" s="57" t="s">
        <v>29</v>
      </c>
      <c r="L11" s="57" t="s">
        <v>31</v>
      </c>
      <c r="M11" s="57"/>
      <c r="N11" s="87">
        <f>M11</f>
        <v>0</v>
      </c>
      <c r="O11" s="75"/>
      <c r="P11" s="58" t="s">
        <v>27</v>
      </c>
      <c r="Q11" s="55"/>
      <c r="R11" s="59">
        <v>1</v>
      </c>
      <c r="S11" s="56">
        <f t="shared" si="0"/>
        <v>0.75</v>
      </c>
      <c r="T11" s="71"/>
    </row>
    <row r="12" spans="1:21" ht="18.75" customHeight="1" x14ac:dyDescent="0.15">
      <c r="A12" s="359"/>
      <c r="B12" s="75"/>
      <c r="C12" s="54"/>
      <c r="D12" s="55"/>
      <c r="E12" s="56"/>
      <c r="F12" s="57"/>
      <c r="G12" s="79"/>
      <c r="H12" s="83"/>
      <c r="I12" s="55"/>
      <c r="J12" s="57"/>
      <c r="K12" s="57"/>
      <c r="L12" s="57"/>
      <c r="M12" s="57"/>
      <c r="N12" s="87"/>
      <c r="O12" s="75"/>
      <c r="P12" s="58" t="s">
        <v>25</v>
      </c>
      <c r="Q12" s="55" t="s">
        <v>26</v>
      </c>
      <c r="R12" s="59">
        <v>3.6</v>
      </c>
      <c r="S12" s="56">
        <f t="shared" si="0"/>
        <v>2.7</v>
      </c>
      <c r="T12" s="71"/>
    </row>
    <row r="13" spans="1:21" ht="18.75" customHeight="1" x14ac:dyDescent="0.15">
      <c r="A13" s="359"/>
      <c r="B13" s="74"/>
      <c r="C13" s="48"/>
      <c r="D13" s="49"/>
      <c r="E13" s="50"/>
      <c r="F13" s="51"/>
      <c r="G13" s="78"/>
      <c r="H13" s="82"/>
      <c r="I13" s="49"/>
      <c r="J13" s="51"/>
      <c r="K13" s="51"/>
      <c r="L13" s="51"/>
      <c r="M13" s="51"/>
      <c r="N13" s="86"/>
      <c r="O13" s="74"/>
      <c r="P13" s="52"/>
      <c r="Q13" s="49"/>
      <c r="R13" s="53"/>
      <c r="S13" s="50"/>
      <c r="T13" s="70"/>
    </row>
    <row r="14" spans="1:21" ht="18.75" customHeight="1" x14ac:dyDescent="0.15">
      <c r="A14" s="359"/>
      <c r="B14" s="75" t="s">
        <v>163</v>
      </c>
      <c r="C14" s="54" t="s">
        <v>144</v>
      </c>
      <c r="D14" s="55"/>
      <c r="E14" s="56">
        <v>30</v>
      </c>
      <c r="F14" s="57" t="s">
        <v>29</v>
      </c>
      <c r="G14" s="79"/>
      <c r="H14" s="83" t="s">
        <v>144</v>
      </c>
      <c r="I14" s="55"/>
      <c r="J14" s="57">
        <f>ROUNDUP(E14*0.75,2)</f>
        <v>22.5</v>
      </c>
      <c r="K14" s="57" t="s">
        <v>29</v>
      </c>
      <c r="L14" s="57"/>
      <c r="M14" s="57"/>
      <c r="N14" s="87">
        <f>ROUND(M14+(M14*6/100),2)</f>
        <v>0</v>
      </c>
      <c r="O14" s="75" t="s">
        <v>123</v>
      </c>
      <c r="P14" s="58" t="s">
        <v>22</v>
      </c>
      <c r="Q14" s="55"/>
      <c r="R14" s="59">
        <v>1</v>
      </c>
      <c r="S14" s="56">
        <f>ROUNDUP(R14*0.75,2)</f>
        <v>0.75</v>
      </c>
      <c r="T14" s="71"/>
    </row>
    <row r="15" spans="1:21" ht="18.75" customHeight="1" x14ac:dyDescent="0.15">
      <c r="A15" s="359"/>
      <c r="B15" s="75"/>
      <c r="C15" s="54" t="s">
        <v>111</v>
      </c>
      <c r="D15" s="55"/>
      <c r="E15" s="56">
        <v>3</v>
      </c>
      <c r="F15" s="57" t="s">
        <v>29</v>
      </c>
      <c r="G15" s="79"/>
      <c r="H15" s="83" t="s">
        <v>111</v>
      </c>
      <c r="I15" s="55"/>
      <c r="J15" s="57">
        <f>ROUNDUP(E15*0.75,2)</f>
        <v>2.25</v>
      </c>
      <c r="K15" s="57" t="s">
        <v>29</v>
      </c>
      <c r="L15" s="57"/>
      <c r="M15" s="57"/>
      <c r="N15" s="87">
        <f>ROUND(M15+(M15*5/100),2)</f>
        <v>0</v>
      </c>
      <c r="O15" s="75" t="s">
        <v>164</v>
      </c>
      <c r="P15" s="58" t="s">
        <v>22</v>
      </c>
      <c r="Q15" s="55"/>
      <c r="R15" s="59">
        <v>1</v>
      </c>
      <c r="S15" s="56">
        <f>ROUNDUP(R15*0.75,2)</f>
        <v>0.75</v>
      </c>
      <c r="T15" s="71"/>
    </row>
    <row r="16" spans="1:21" ht="18.75" customHeight="1" x14ac:dyDescent="0.15">
      <c r="A16" s="359"/>
      <c r="B16" s="75"/>
      <c r="C16" s="54" t="s">
        <v>35</v>
      </c>
      <c r="D16" s="55" t="s">
        <v>36</v>
      </c>
      <c r="E16" s="60">
        <v>0.5</v>
      </c>
      <c r="F16" s="57" t="s">
        <v>32</v>
      </c>
      <c r="G16" s="79"/>
      <c r="H16" s="83" t="s">
        <v>35</v>
      </c>
      <c r="I16" s="55" t="s">
        <v>36</v>
      </c>
      <c r="J16" s="57">
        <f>ROUNDUP(E16*0.75,2)</f>
        <v>0.38</v>
      </c>
      <c r="K16" s="57" t="s">
        <v>32</v>
      </c>
      <c r="L16" s="57"/>
      <c r="M16" s="57"/>
      <c r="N16" s="87">
        <f>M16</f>
        <v>0</v>
      </c>
      <c r="O16" s="75" t="s">
        <v>165</v>
      </c>
      <c r="P16" s="58" t="s">
        <v>43</v>
      </c>
      <c r="Q16" s="55"/>
      <c r="R16" s="59">
        <v>0.1</v>
      </c>
      <c r="S16" s="56">
        <f>ROUNDUP(R16*0.75,2)</f>
        <v>0.08</v>
      </c>
      <c r="T16" s="71"/>
    </row>
    <row r="17" spans="1:20" ht="18.75" customHeight="1" x14ac:dyDescent="0.15">
      <c r="A17" s="359"/>
      <c r="B17" s="75"/>
      <c r="C17" s="54"/>
      <c r="D17" s="55"/>
      <c r="E17" s="56"/>
      <c r="F17" s="57"/>
      <c r="G17" s="79"/>
      <c r="H17" s="83"/>
      <c r="I17" s="55"/>
      <c r="J17" s="57"/>
      <c r="K17" s="57"/>
      <c r="L17" s="57"/>
      <c r="M17" s="57"/>
      <c r="N17" s="87"/>
      <c r="O17" s="75" t="s">
        <v>19</v>
      </c>
      <c r="P17" s="58" t="s">
        <v>78</v>
      </c>
      <c r="Q17" s="55"/>
      <c r="R17" s="59">
        <v>0.01</v>
      </c>
      <c r="S17" s="56">
        <f>ROUNDUP(R17*0.75,2)</f>
        <v>0.01</v>
      </c>
      <c r="T17" s="71"/>
    </row>
    <row r="18" spans="1:20" ht="18.75" customHeight="1" x14ac:dyDescent="0.15">
      <c r="A18" s="359"/>
      <c r="B18" s="74"/>
      <c r="C18" s="48"/>
      <c r="D18" s="49"/>
      <c r="E18" s="50"/>
      <c r="F18" s="51"/>
      <c r="G18" s="78"/>
      <c r="H18" s="82"/>
      <c r="I18" s="49"/>
      <c r="J18" s="51"/>
      <c r="K18" s="51"/>
      <c r="L18" s="51"/>
      <c r="M18" s="51"/>
      <c r="N18" s="86"/>
      <c r="O18" s="74"/>
      <c r="P18" s="52"/>
      <c r="Q18" s="49"/>
      <c r="R18" s="53"/>
      <c r="S18" s="50"/>
      <c r="T18" s="70"/>
    </row>
    <row r="19" spans="1:20" ht="18.75" customHeight="1" x14ac:dyDescent="0.15">
      <c r="A19" s="359"/>
      <c r="B19" s="75" t="s">
        <v>63</v>
      </c>
      <c r="C19" s="54" t="s">
        <v>41</v>
      </c>
      <c r="D19" s="55"/>
      <c r="E19" s="56">
        <v>0.5</v>
      </c>
      <c r="F19" s="57" t="s">
        <v>29</v>
      </c>
      <c r="G19" s="79" t="s">
        <v>42</v>
      </c>
      <c r="H19" s="83" t="s">
        <v>41</v>
      </c>
      <c r="I19" s="55"/>
      <c r="J19" s="57">
        <f>ROUNDUP(E19*0.75,2)</f>
        <v>0.38</v>
      </c>
      <c r="K19" s="57" t="s">
        <v>29</v>
      </c>
      <c r="L19" s="57" t="s">
        <v>42</v>
      </c>
      <c r="M19" s="57"/>
      <c r="N19" s="87">
        <f>M19</f>
        <v>0</v>
      </c>
      <c r="O19" s="75" t="s">
        <v>19</v>
      </c>
      <c r="P19" s="58" t="s">
        <v>23</v>
      </c>
      <c r="Q19" s="55"/>
      <c r="R19" s="59">
        <v>100</v>
      </c>
      <c r="S19" s="56">
        <f>ROUNDUP(R19*0.75,2)</f>
        <v>75</v>
      </c>
      <c r="T19" s="71"/>
    </row>
    <row r="20" spans="1:20" ht="18.75" customHeight="1" x14ac:dyDescent="0.15">
      <c r="A20" s="359"/>
      <c r="B20" s="75"/>
      <c r="C20" s="54" t="s">
        <v>110</v>
      </c>
      <c r="D20" s="55"/>
      <c r="E20" s="56">
        <v>3</v>
      </c>
      <c r="F20" s="57" t="s">
        <v>29</v>
      </c>
      <c r="G20" s="79"/>
      <c r="H20" s="83" t="s">
        <v>110</v>
      </c>
      <c r="I20" s="55"/>
      <c r="J20" s="57">
        <f>ROUNDUP(E20*0.75,2)</f>
        <v>2.25</v>
      </c>
      <c r="K20" s="57" t="s">
        <v>29</v>
      </c>
      <c r="L20" s="57"/>
      <c r="M20" s="57"/>
      <c r="N20" s="87">
        <f>ROUND(M20+(M20*40/100),2)</f>
        <v>0</v>
      </c>
      <c r="O20" s="75"/>
      <c r="P20" s="58" t="s">
        <v>66</v>
      </c>
      <c r="Q20" s="55"/>
      <c r="R20" s="59">
        <v>3</v>
      </c>
      <c r="S20" s="56">
        <f>ROUNDUP(R20*0.75,2)</f>
        <v>2.25</v>
      </c>
      <c r="T20" s="71"/>
    </row>
    <row r="21" spans="1:20" ht="18.75" customHeight="1" thickBot="1" x14ac:dyDescent="0.2">
      <c r="A21" s="360"/>
      <c r="B21" s="76"/>
      <c r="C21" s="61"/>
      <c r="D21" s="62"/>
      <c r="E21" s="63"/>
      <c r="F21" s="64"/>
      <c r="G21" s="80"/>
      <c r="H21" s="84"/>
      <c r="I21" s="62"/>
      <c r="J21" s="64"/>
      <c r="K21" s="64"/>
      <c r="L21" s="64"/>
      <c r="M21" s="64"/>
      <c r="N21" s="88"/>
      <c r="O21" s="76"/>
      <c r="P21" s="65"/>
      <c r="Q21" s="62"/>
      <c r="R21" s="66"/>
      <c r="S21" s="63"/>
      <c r="T21" s="72"/>
    </row>
  </sheetData>
  <mergeCells count="4">
    <mergeCell ref="H1:O1"/>
    <mergeCell ref="A2:T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344</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343</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342</v>
      </c>
      <c r="C9" s="96" t="s">
        <v>108</v>
      </c>
      <c r="D9" s="96" t="s">
        <v>55</v>
      </c>
      <c r="E9" s="55"/>
      <c r="F9" s="121"/>
      <c r="G9" s="136"/>
      <c r="H9" s="115">
        <v>20</v>
      </c>
      <c r="I9" s="127" t="s">
        <v>341</v>
      </c>
      <c r="J9" s="98" t="s">
        <v>167</v>
      </c>
      <c r="K9" s="141">
        <v>20</v>
      </c>
      <c r="L9" s="136" t="s">
        <v>340</v>
      </c>
      <c r="M9" s="96" t="s">
        <v>98</v>
      </c>
      <c r="N9" s="115">
        <v>10</v>
      </c>
      <c r="O9" s="111"/>
    </row>
    <row r="10" spans="1:21" ht="20.100000000000001" customHeight="1" x14ac:dyDescent="0.15">
      <c r="A10" s="379"/>
      <c r="B10" s="96"/>
      <c r="C10" s="96" t="s">
        <v>98</v>
      </c>
      <c r="D10" s="96"/>
      <c r="E10" s="55"/>
      <c r="F10" s="121"/>
      <c r="G10" s="136"/>
      <c r="H10" s="115">
        <v>20</v>
      </c>
      <c r="I10" s="127"/>
      <c r="J10" s="96" t="s">
        <v>98</v>
      </c>
      <c r="K10" s="141">
        <v>20</v>
      </c>
      <c r="L10" s="136"/>
      <c r="M10" s="96" t="s">
        <v>33</v>
      </c>
      <c r="N10" s="115">
        <v>5</v>
      </c>
      <c r="O10" s="111"/>
    </row>
    <row r="11" spans="1:21" ht="20.100000000000001" customHeight="1" x14ac:dyDescent="0.15">
      <c r="A11" s="379"/>
      <c r="B11" s="96"/>
      <c r="C11" s="96" t="s">
        <v>33</v>
      </c>
      <c r="D11" s="96"/>
      <c r="E11" s="55"/>
      <c r="F11" s="121"/>
      <c r="G11" s="136"/>
      <c r="H11" s="115">
        <v>10</v>
      </c>
      <c r="I11" s="127"/>
      <c r="J11" s="96" t="s">
        <v>33</v>
      </c>
      <c r="K11" s="141">
        <v>5</v>
      </c>
      <c r="L11" s="136"/>
      <c r="M11" s="96" t="s">
        <v>61</v>
      </c>
      <c r="N11" s="115">
        <v>5</v>
      </c>
      <c r="O11" s="111"/>
    </row>
    <row r="12" spans="1:21" ht="20.100000000000001" customHeight="1" x14ac:dyDescent="0.15">
      <c r="A12" s="379"/>
      <c r="B12" s="96"/>
      <c r="C12" s="96" t="s">
        <v>61</v>
      </c>
      <c r="D12" s="96"/>
      <c r="E12" s="55"/>
      <c r="F12" s="121"/>
      <c r="G12" s="136"/>
      <c r="H12" s="115">
        <v>5</v>
      </c>
      <c r="I12" s="127"/>
      <c r="J12" s="96" t="s">
        <v>61</v>
      </c>
      <c r="K12" s="141">
        <v>5</v>
      </c>
      <c r="L12" s="135"/>
      <c r="M12" s="97"/>
      <c r="N12" s="114"/>
      <c r="O12" s="110"/>
    </row>
    <row r="13" spans="1:21" ht="20.100000000000001" customHeight="1" x14ac:dyDescent="0.15">
      <c r="A13" s="379"/>
      <c r="B13" s="96"/>
      <c r="C13" s="96"/>
      <c r="D13" s="96"/>
      <c r="E13" s="55"/>
      <c r="F13" s="121"/>
      <c r="G13" s="136" t="s">
        <v>23</v>
      </c>
      <c r="H13" s="115" t="s">
        <v>292</v>
      </c>
      <c r="I13" s="127"/>
      <c r="J13" s="96"/>
      <c r="K13" s="141"/>
      <c r="L13" s="136" t="s">
        <v>339</v>
      </c>
      <c r="M13" s="96" t="s">
        <v>144</v>
      </c>
      <c r="N13" s="115">
        <v>10</v>
      </c>
      <c r="O13" s="111"/>
    </row>
    <row r="14" spans="1:21" ht="20.100000000000001" customHeight="1" x14ac:dyDescent="0.15">
      <c r="A14" s="379"/>
      <c r="B14" s="96"/>
      <c r="C14" s="96"/>
      <c r="D14" s="96"/>
      <c r="E14" s="55"/>
      <c r="F14" s="121"/>
      <c r="G14" s="136" t="s">
        <v>24</v>
      </c>
      <c r="H14" s="115" t="s">
        <v>294</v>
      </c>
      <c r="I14" s="127"/>
      <c r="J14" s="96"/>
      <c r="K14" s="141"/>
      <c r="L14" s="136"/>
      <c r="M14" s="96"/>
      <c r="N14" s="115"/>
      <c r="O14" s="111"/>
    </row>
    <row r="15" spans="1:21" ht="20.100000000000001" customHeight="1" x14ac:dyDescent="0.15">
      <c r="A15" s="379"/>
      <c r="B15" s="96"/>
      <c r="C15" s="96"/>
      <c r="D15" s="96"/>
      <c r="E15" s="55"/>
      <c r="F15" s="121" t="s">
        <v>26</v>
      </c>
      <c r="G15" s="136" t="s">
        <v>25</v>
      </c>
      <c r="H15" s="115" t="s">
        <v>294</v>
      </c>
      <c r="I15" s="127"/>
      <c r="J15" s="96"/>
      <c r="K15" s="141"/>
      <c r="L15" s="136"/>
      <c r="M15" s="96"/>
      <c r="N15" s="115"/>
      <c r="O15" s="111"/>
    </row>
    <row r="16" spans="1:21" ht="20.100000000000001" customHeight="1" x14ac:dyDescent="0.15">
      <c r="A16" s="379"/>
      <c r="B16" s="97"/>
      <c r="C16" s="97"/>
      <c r="D16" s="97"/>
      <c r="E16" s="49"/>
      <c r="F16" s="120"/>
      <c r="G16" s="135"/>
      <c r="H16" s="114"/>
      <c r="I16" s="126"/>
      <c r="J16" s="97"/>
      <c r="K16" s="139"/>
      <c r="L16" s="136"/>
      <c r="M16" s="96"/>
      <c r="N16" s="115"/>
      <c r="O16" s="111"/>
    </row>
    <row r="17" spans="1:15" ht="20.100000000000001" customHeight="1" x14ac:dyDescent="0.15">
      <c r="A17" s="379"/>
      <c r="B17" s="96" t="s">
        <v>338</v>
      </c>
      <c r="C17" s="96" t="s">
        <v>144</v>
      </c>
      <c r="D17" s="96"/>
      <c r="E17" s="55"/>
      <c r="F17" s="121"/>
      <c r="G17" s="136"/>
      <c r="H17" s="115">
        <v>20</v>
      </c>
      <c r="I17" s="127" t="s">
        <v>338</v>
      </c>
      <c r="J17" s="96" t="s">
        <v>144</v>
      </c>
      <c r="K17" s="141">
        <v>10</v>
      </c>
      <c r="L17" s="136"/>
      <c r="M17" s="96"/>
      <c r="N17" s="115"/>
      <c r="O17" s="111"/>
    </row>
    <row r="18" spans="1:15" ht="20.100000000000001" customHeight="1" x14ac:dyDescent="0.15">
      <c r="A18" s="379"/>
      <c r="B18" s="96"/>
      <c r="C18" s="96" t="s">
        <v>35</v>
      </c>
      <c r="D18" s="96"/>
      <c r="E18" s="55" t="s">
        <v>36</v>
      </c>
      <c r="F18" s="121"/>
      <c r="G18" s="136"/>
      <c r="H18" s="144">
        <v>0.13</v>
      </c>
      <c r="I18" s="127"/>
      <c r="J18" s="96" t="s">
        <v>296</v>
      </c>
      <c r="K18" s="143">
        <v>0.13</v>
      </c>
      <c r="L18" s="136"/>
      <c r="M18" s="96"/>
      <c r="N18" s="115"/>
      <c r="O18" s="111"/>
    </row>
    <row r="19" spans="1:15" ht="20.100000000000001" customHeight="1" x14ac:dyDescent="0.15">
      <c r="A19" s="379"/>
      <c r="B19" s="96"/>
      <c r="C19" s="96"/>
      <c r="D19" s="96"/>
      <c r="E19" s="55"/>
      <c r="F19" s="122"/>
      <c r="G19" s="136" t="s">
        <v>23</v>
      </c>
      <c r="H19" s="115" t="s">
        <v>292</v>
      </c>
      <c r="I19" s="127"/>
      <c r="J19" s="96"/>
      <c r="K19" s="141"/>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63</v>
      </c>
      <c r="C21" s="96" t="s">
        <v>41</v>
      </c>
      <c r="D21" s="96" t="s">
        <v>42</v>
      </c>
      <c r="E21" s="55"/>
      <c r="F21" s="121"/>
      <c r="G21" s="136"/>
      <c r="H21" s="115">
        <v>0.5</v>
      </c>
      <c r="I21" s="127" t="s">
        <v>63</v>
      </c>
      <c r="J21" s="96" t="s">
        <v>41</v>
      </c>
      <c r="K21" s="141">
        <v>0.5</v>
      </c>
      <c r="L21" s="136"/>
      <c r="M21" s="96"/>
      <c r="N21" s="115"/>
      <c r="O21" s="111"/>
    </row>
    <row r="22" spans="1:15" ht="20.100000000000001" customHeight="1" x14ac:dyDescent="0.15">
      <c r="A22" s="379"/>
      <c r="B22" s="96"/>
      <c r="C22" s="96"/>
      <c r="D22" s="96"/>
      <c r="E22" s="55"/>
      <c r="F22" s="121"/>
      <c r="G22" s="136" t="s">
        <v>23</v>
      </c>
      <c r="H22" s="115" t="s">
        <v>292</v>
      </c>
      <c r="I22" s="127"/>
      <c r="J22" s="96"/>
      <c r="K22" s="141"/>
      <c r="L22" s="136"/>
      <c r="M22" s="96"/>
      <c r="N22" s="115"/>
      <c r="O22" s="111"/>
    </row>
    <row r="23" spans="1:15" ht="20.100000000000001" customHeight="1" x14ac:dyDescent="0.15">
      <c r="A23" s="379"/>
      <c r="B23" s="96"/>
      <c r="C23" s="96"/>
      <c r="D23" s="96"/>
      <c r="E23" s="55"/>
      <c r="F23" s="121"/>
      <c r="G23" s="136" t="s">
        <v>66</v>
      </c>
      <c r="H23" s="115" t="s">
        <v>294</v>
      </c>
      <c r="I23" s="127"/>
      <c r="J23" s="96"/>
      <c r="K23" s="141"/>
      <c r="L23" s="136"/>
      <c r="M23" s="96"/>
      <c r="N23" s="115"/>
      <c r="O23" s="111"/>
    </row>
    <row r="24" spans="1:15" ht="20.100000000000001" customHeight="1" thickBot="1" x14ac:dyDescent="0.2">
      <c r="A24" s="380"/>
      <c r="B24" s="95"/>
      <c r="C24" s="95"/>
      <c r="D24" s="95"/>
      <c r="E24" s="62"/>
      <c r="F24" s="123"/>
      <c r="G24" s="137"/>
      <c r="H24" s="117"/>
      <c r="I24" s="128"/>
      <c r="J24" s="95"/>
      <c r="K24" s="142"/>
      <c r="L24" s="137"/>
      <c r="M24" s="95"/>
      <c r="N24" s="117"/>
      <c r="O24" s="112"/>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3">
    <mergeCell ref="A7:A24"/>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177</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178</v>
      </c>
      <c r="C5" s="42" t="s">
        <v>182</v>
      </c>
      <c r="D5" s="43" t="s">
        <v>26</v>
      </c>
      <c r="E5" s="44">
        <v>40</v>
      </c>
      <c r="F5" s="45" t="s">
        <v>29</v>
      </c>
      <c r="G5" s="77" t="s">
        <v>183</v>
      </c>
      <c r="H5" s="81" t="s">
        <v>182</v>
      </c>
      <c r="I5" s="43" t="s">
        <v>26</v>
      </c>
      <c r="J5" s="45">
        <f>ROUNDUP(E5*0.75,2)</f>
        <v>30</v>
      </c>
      <c r="K5" s="45" t="s">
        <v>29</v>
      </c>
      <c r="L5" s="45" t="s">
        <v>183</v>
      </c>
      <c r="M5" s="45"/>
      <c r="N5" s="85">
        <f>M5</f>
        <v>0</v>
      </c>
      <c r="O5" s="73" t="s">
        <v>179</v>
      </c>
      <c r="P5" s="46" t="s">
        <v>76</v>
      </c>
      <c r="Q5" s="43" t="s">
        <v>49</v>
      </c>
      <c r="R5" s="47">
        <v>0.5</v>
      </c>
      <c r="S5" s="44">
        <f t="shared" ref="S5:S12" si="0">ROUNDUP(R5*0.75,2)</f>
        <v>0.38</v>
      </c>
      <c r="T5" s="69"/>
    </row>
    <row r="6" spans="1:21" ht="18.75" customHeight="1" x14ac:dyDescent="0.15">
      <c r="A6" s="359"/>
      <c r="B6" s="75"/>
      <c r="C6" s="54" t="s">
        <v>184</v>
      </c>
      <c r="D6" s="55"/>
      <c r="E6" s="56">
        <v>40</v>
      </c>
      <c r="F6" s="57" t="s">
        <v>29</v>
      </c>
      <c r="G6" s="79" t="s">
        <v>55</v>
      </c>
      <c r="H6" s="83" t="s">
        <v>184</v>
      </c>
      <c r="I6" s="55"/>
      <c r="J6" s="57">
        <f>ROUNDUP(E6*0.75,2)</f>
        <v>30</v>
      </c>
      <c r="K6" s="57" t="s">
        <v>29</v>
      </c>
      <c r="L6" s="57" t="s">
        <v>55</v>
      </c>
      <c r="M6" s="57"/>
      <c r="N6" s="87">
        <f>M6</f>
        <v>0</v>
      </c>
      <c r="O6" s="75" t="s">
        <v>273</v>
      </c>
      <c r="P6" s="58" t="s">
        <v>22</v>
      </c>
      <c r="Q6" s="55"/>
      <c r="R6" s="59">
        <v>2</v>
      </c>
      <c r="S6" s="56">
        <f t="shared" si="0"/>
        <v>1.5</v>
      </c>
      <c r="T6" s="71"/>
    </row>
    <row r="7" spans="1:21" ht="18.75" customHeight="1" x14ac:dyDescent="0.15">
      <c r="A7" s="359"/>
      <c r="B7" s="75"/>
      <c r="C7" s="54" t="s">
        <v>33</v>
      </c>
      <c r="D7" s="55"/>
      <c r="E7" s="56">
        <v>30</v>
      </c>
      <c r="F7" s="57" t="s">
        <v>29</v>
      </c>
      <c r="G7" s="79"/>
      <c r="H7" s="83" t="s">
        <v>33</v>
      </c>
      <c r="I7" s="55"/>
      <c r="J7" s="57">
        <f>ROUNDUP(E7*0.75,2)</f>
        <v>22.5</v>
      </c>
      <c r="K7" s="57" t="s">
        <v>29</v>
      </c>
      <c r="L7" s="57"/>
      <c r="M7" s="57"/>
      <c r="N7" s="87">
        <f>ROUND(M7+(M7*6/100),2)</f>
        <v>0</v>
      </c>
      <c r="O7" s="75" t="s">
        <v>274</v>
      </c>
      <c r="P7" s="58" t="s">
        <v>121</v>
      </c>
      <c r="Q7" s="55" t="s">
        <v>26</v>
      </c>
      <c r="R7" s="59">
        <v>2</v>
      </c>
      <c r="S7" s="56">
        <f t="shared" si="0"/>
        <v>1.5</v>
      </c>
      <c r="T7" s="71"/>
    </row>
    <row r="8" spans="1:21" ht="18.75" customHeight="1" x14ac:dyDescent="0.15">
      <c r="A8" s="359"/>
      <c r="B8" s="75"/>
      <c r="C8" s="54" t="s">
        <v>125</v>
      </c>
      <c r="D8" s="55"/>
      <c r="E8" s="56">
        <v>10</v>
      </c>
      <c r="F8" s="57" t="s">
        <v>29</v>
      </c>
      <c r="G8" s="79"/>
      <c r="H8" s="83" t="s">
        <v>125</v>
      </c>
      <c r="I8" s="55"/>
      <c r="J8" s="57">
        <f>ROUNDUP(E8*0.75,2)</f>
        <v>7.5</v>
      </c>
      <c r="K8" s="57" t="s">
        <v>29</v>
      </c>
      <c r="L8" s="57"/>
      <c r="M8" s="57"/>
      <c r="N8" s="87">
        <f>ROUND(M8+(M8*10/100),2)</f>
        <v>0</v>
      </c>
      <c r="O8" s="75" t="s">
        <v>180</v>
      </c>
      <c r="P8" s="58" t="s">
        <v>50</v>
      </c>
      <c r="Q8" s="55"/>
      <c r="R8" s="59">
        <v>30</v>
      </c>
      <c r="S8" s="56">
        <f t="shared" si="0"/>
        <v>22.5</v>
      </c>
      <c r="T8" s="71"/>
    </row>
    <row r="9" spans="1:21" ht="18.75" customHeight="1" x14ac:dyDescent="0.15">
      <c r="A9" s="359"/>
      <c r="B9" s="75"/>
      <c r="C9" s="54"/>
      <c r="D9" s="55"/>
      <c r="E9" s="56"/>
      <c r="F9" s="57"/>
      <c r="G9" s="79"/>
      <c r="H9" s="83"/>
      <c r="I9" s="55"/>
      <c r="J9" s="57"/>
      <c r="K9" s="57"/>
      <c r="L9" s="57"/>
      <c r="M9" s="57"/>
      <c r="N9" s="87"/>
      <c r="O9" s="75" t="s">
        <v>181</v>
      </c>
      <c r="P9" s="58" t="s">
        <v>37</v>
      </c>
      <c r="Q9" s="55"/>
      <c r="R9" s="59">
        <v>1</v>
      </c>
      <c r="S9" s="56">
        <f t="shared" si="0"/>
        <v>0.75</v>
      </c>
      <c r="T9" s="71"/>
    </row>
    <row r="10" spans="1:21" ht="18.75" customHeight="1" x14ac:dyDescent="0.15">
      <c r="A10" s="359"/>
      <c r="B10" s="75"/>
      <c r="C10" s="54"/>
      <c r="D10" s="55"/>
      <c r="E10" s="56"/>
      <c r="F10" s="57"/>
      <c r="G10" s="79"/>
      <c r="H10" s="83"/>
      <c r="I10" s="55"/>
      <c r="J10" s="57"/>
      <c r="K10" s="57"/>
      <c r="L10" s="57"/>
      <c r="M10" s="57"/>
      <c r="N10" s="87"/>
      <c r="O10" s="75" t="s">
        <v>19</v>
      </c>
      <c r="P10" s="58" t="s">
        <v>77</v>
      </c>
      <c r="Q10" s="55"/>
      <c r="R10" s="59">
        <v>15</v>
      </c>
      <c r="S10" s="56">
        <f t="shared" si="0"/>
        <v>11.25</v>
      </c>
      <c r="T10" s="71"/>
    </row>
    <row r="11" spans="1:21" ht="18.75" customHeight="1" x14ac:dyDescent="0.15">
      <c r="A11" s="359"/>
      <c r="B11" s="75"/>
      <c r="C11" s="54"/>
      <c r="D11" s="55"/>
      <c r="E11" s="56"/>
      <c r="F11" s="57"/>
      <c r="G11" s="79"/>
      <c r="H11" s="83"/>
      <c r="I11" s="55"/>
      <c r="J11" s="57"/>
      <c r="K11" s="57"/>
      <c r="L11" s="57"/>
      <c r="M11" s="57"/>
      <c r="N11" s="87"/>
      <c r="O11" s="75"/>
      <c r="P11" s="58" t="s">
        <v>185</v>
      </c>
      <c r="Q11" s="55"/>
      <c r="R11" s="59">
        <v>2</v>
      </c>
      <c r="S11" s="56">
        <f t="shared" si="0"/>
        <v>1.5</v>
      </c>
      <c r="T11" s="71"/>
    </row>
    <row r="12" spans="1:21" ht="18.75" customHeight="1" x14ac:dyDescent="0.15">
      <c r="A12" s="359"/>
      <c r="B12" s="75"/>
      <c r="C12" s="54"/>
      <c r="D12" s="55"/>
      <c r="E12" s="56"/>
      <c r="F12" s="57"/>
      <c r="G12" s="79"/>
      <c r="H12" s="83"/>
      <c r="I12" s="55"/>
      <c r="J12" s="57"/>
      <c r="K12" s="57"/>
      <c r="L12" s="57"/>
      <c r="M12" s="57"/>
      <c r="N12" s="87"/>
      <c r="O12" s="75"/>
      <c r="P12" s="58" t="s">
        <v>24</v>
      </c>
      <c r="Q12" s="55"/>
      <c r="R12" s="59">
        <v>0.5</v>
      </c>
      <c r="S12" s="56">
        <f t="shared" si="0"/>
        <v>0.38</v>
      </c>
      <c r="T12" s="71"/>
    </row>
    <row r="13" spans="1:21" ht="18.75" customHeight="1" x14ac:dyDescent="0.15">
      <c r="A13" s="359"/>
      <c r="B13" s="74"/>
      <c r="C13" s="48"/>
      <c r="D13" s="49"/>
      <c r="E13" s="50"/>
      <c r="F13" s="51"/>
      <c r="G13" s="78"/>
      <c r="H13" s="82"/>
      <c r="I13" s="49"/>
      <c r="J13" s="51"/>
      <c r="K13" s="51"/>
      <c r="L13" s="51"/>
      <c r="M13" s="51"/>
      <c r="N13" s="86"/>
      <c r="O13" s="74"/>
      <c r="P13" s="52"/>
      <c r="Q13" s="49"/>
      <c r="R13" s="53"/>
      <c r="S13" s="50"/>
      <c r="T13" s="70"/>
    </row>
    <row r="14" spans="1:21" ht="18.75" customHeight="1" x14ac:dyDescent="0.15">
      <c r="A14" s="359"/>
      <c r="B14" s="75" t="s">
        <v>186</v>
      </c>
      <c r="C14" s="54" t="s">
        <v>64</v>
      </c>
      <c r="D14" s="55"/>
      <c r="E14" s="56">
        <v>40</v>
      </c>
      <c r="F14" s="57" t="s">
        <v>29</v>
      </c>
      <c r="G14" s="79"/>
      <c r="H14" s="83" t="s">
        <v>64</v>
      </c>
      <c r="I14" s="55"/>
      <c r="J14" s="57">
        <f>ROUNDUP(E14*0.75,2)</f>
        <v>30</v>
      </c>
      <c r="K14" s="57" t="s">
        <v>29</v>
      </c>
      <c r="L14" s="57"/>
      <c r="M14" s="57"/>
      <c r="N14" s="87">
        <f>ROUND(M14+(M14*10/100),2)</f>
        <v>0</v>
      </c>
      <c r="O14" s="75" t="s">
        <v>268</v>
      </c>
      <c r="P14" s="58" t="s">
        <v>24</v>
      </c>
      <c r="Q14" s="55"/>
      <c r="R14" s="59">
        <v>0.3</v>
      </c>
      <c r="S14" s="56">
        <f>ROUNDUP(R14*0.75,2)</f>
        <v>0.23</v>
      </c>
      <c r="T14" s="71"/>
    </row>
    <row r="15" spans="1:21" ht="18.75" customHeight="1" x14ac:dyDescent="0.15">
      <c r="A15" s="359"/>
      <c r="B15" s="75"/>
      <c r="C15" s="54" t="s">
        <v>188</v>
      </c>
      <c r="D15" s="55"/>
      <c r="E15" s="56">
        <v>5</v>
      </c>
      <c r="F15" s="57" t="s">
        <v>29</v>
      </c>
      <c r="G15" s="79" t="s">
        <v>31</v>
      </c>
      <c r="H15" s="83" t="s">
        <v>188</v>
      </c>
      <c r="I15" s="55"/>
      <c r="J15" s="57">
        <f>ROUNDUP(E15*0.75,2)</f>
        <v>3.75</v>
      </c>
      <c r="K15" s="57" t="s">
        <v>29</v>
      </c>
      <c r="L15" s="57" t="s">
        <v>31</v>
      </c>
      <c r="M15" s="57"/>
      <c r="N15" s="87">
        <f>M15</f>
        <v>0</v>
      </c>
      <c r="O15" s="75" t="s">
        <v>269</v>
      </c>
      <c r="P15" s="58" t="s">
        <v>43</v>
      </c>
      <c r="Q15" s="55"/>
      <c r="R15" s="59">
        <v>0.1</v>
      </c>
      <c r="S15" s="56">
        <f>ROUNDUP(R15*0.75,2)</f>
        <v>0.08</v>
      </c>
      <c r="T15" s="71"/>
    </row>
    <row r="16" spans="1:21" ht="18.75" customHeight="1" x14ac:dyDescent="0.15">
      <c r="A16" s="359"/>
      <c r="B16" s="75"/>
      <c r="C16" s="54" t="s">
        <v>97</v>
      </c>
      <c r="D16" s="55"/>
      <c r="E16" s="56">
        <v>10</v>
      </c>
      <c r="F16" s="57" t="s">
        <v>29</v>
      </c>
      <c r="G16" s="79" t="s">
        <v>55</v>
      </c>
      <c r="H16" s="83" t="s">
        <v>97</v>
      </c>
      <c r="I16" s="55"/>
      <c r="J16" s="57">
        <f>ROUNDUP(E16*0.75,2)</f>
        <v>7.5</v>
      </c>
      <c r="K16" s="57" t="s">
        <v>29</v>
      </c>
      <c r="L16" s="57" t="s">
        <v>55</v>
      </c>
      <c r="M16" s="57"/>
      <c r="N16" s="87">
        <f>M16</f>
        <v>0</v>
      </c>
      <c r="O16" s="75" t="s">
        <v>187</v>
      </c>
      <c r="P16" s="58" t="s">
        <v>171</v>
      </c>
      <c r="Q16" s="55" t="s">
        <v>172</v>
      </c>
      <c r="R16" s="59">
        <v>4</v>
      </c>
      <c r="S16" s="56">
        <f>ROUNDUP(R16*0.75,2)</f>
        <v>3</v>
      </c>
      <c r="T16" s="71"/>
    </row>
    <row r="17" spans="1:20" ht="18.75" customHeight="1" x14ac:dyDescent="0.15">
      <c r="A17" s="359"/>
      <c r="B17" s="75"/>
      <c r="C17" s="54"/>
      <c r="D17" s="55"/>
      <c r="E17" s="56"/>
      <c r="F17" s="57"/>
      <c r="G17" s="79"/>
      <c r="H17" s="83"/>
      <c r="I17" s="55"/>
      <c r="J17" s="57"/>
      <c r="K17" s="57"/>
      <c r="L17" s="57"/>
      <c r="M17" s="57"/>
      <c r="N17" s="87"/>
      <c r="O17" s="75" t="s">
        <v>30</v>
      </c>
      <c r="P17" s="58"/>
      <c r="Q17" s="55"/>
      <c r="R17" s="59"/>
      <c r="S17" s="56"/>
      <c r="T17" s="71"/>
    </row>
    <row r="18" spans="1:20" ht="18.75" customHeight="1" x14ac:dyDescent="0.15">
      <c r="A18" s="359"/>
      <c r="B18" s="74"/>
      <c r="C18" s="48"/>
      <c r="D18" s="49"/>
      <c r="E18" s="50"/>
      <c r="F18" s="51"/>
      <c r="G18" s="78"/>
      <c r="H18" s="82"/>
      <c r="I18" s="49"/>
      <c r="J18" s="51"/>
      <c r="K18" s="51"/>
      <c r="L18" s="51"/>
      <c r="M18" s="51"/>
      <c r="N18" s="86"/>
      <c r="O18" s="74" t="s">
        <v>19</v>
      </c>
      <c r="P18" s="52"/>
      <c r="Q18" s="49"/>
      <c r="R18" s="53"/>
      <c r="S18" s="50"/>
      <c r="T18" s="70"/>
    </row>
    <row r="19" spans="1:20" ht="18.75" customHeight="1" x14ac:dyDescent="0.15">
      <c r="A19" s="359"/>
      <c r="B19" s="75" t="s">
        <v>87</v>
      </c>
      <c r="C19" s="54" t="s">
        <v>124</v>
      </c>
      <c r="D19" s="55"/>
      <c r="E19" s="56">
        <v>20</v>
      </c>
      <c r="F19" s="57" t="s">
        <v>29</v>
      </c>
      <c r="G19" s="79"/>
      <c r="H19" s="83" t="s">
        <v>124</v>
      </c>
      <c r="I19" s="55"/>
      <c r="J19" s="57">
        <f>ROUNDUP(E19*0.75,2)</f>
        <v>15</v>
      </c>
      <c r="K19" s="57" t="s">
        <v>29</v>
      </c>
      <c r="L19" s="57"/>
      <c r="M19" s="57"/>
      <c r="N19" s="87">
        <f>ROUND(M19+(M19*10/100),2)</f>
        <v>0</v>
      </c>
      <c r="O19" s="75" t="s">
        <v>19</v>
      </c>
      <c r="P19" s="58" t="s">
        <v>50</v>
      </c>
      <c r="Q19" s="55"/>
      <c r="R19" s="59">
        <v>100</v>
      </c>
      <c r="S19" s="56">
        <f>ROUNDUP(R19*0.75,2)</f>
        <v>75</v>
      </c>
      <c r="T19" s="71"/>
    </row>
    <row r="20" spans="1:20" ht="18.75" customHeight="1" x14ac:dyDescent="0.15">
      <c r="A20" s="359"/>
      <c r="B20" s="75"/>
      <c r="C20" s="54" t="s">
        <v>41</v>
      </c>
      <c r="D20" s="55"/>
      <c r="E20" s="56">
        <v>0.5</v>
      </c>
      <c r="F20" s="57" t="s">
        <v>29</v>
      </c>
      <c r="G20" s="79" t="s">
        <v>42</v>
      </c>
      <c r="H20" s="83" t="s">
        <v>41</v>
      </c>
      <c r="I20" s="55"/>
      <c r="J20" s="57">
        <f>ROUNDUP(E20*0.75,2)</f>
        <v>0.38</v>
      </c>
      <c r="K20" s="57" t="s">
        <v>29</v>
      </c>
      <c r="L20" s="57" t="s">
        <v>42</v>
      </c>
      <c r="M20" s="57"/>
      <c r="N20" s="87">
        <f>M20</f>
        <v>0</v>
      </c>
      <c r="O20" s="75"/>
      <c r="P20" s="58" t="s">
        <v>89</v>
      </c>
      <c r="Q20" s="55" t="s">
        <v>90</v>
      </c>
      <c r="R20" s="59">
        <v>0.5</v>
      </c>
      <c r="S20" s="56">
        <f>ROUNDUP(R20*0.75,2)</f>
        <v>0.38</v>
      </c>
      <c r="T20" s="71"/>
    </row>
    <row r="21" spans="1:20" ht="18.75" customHeight="1" x14ac:dyDescent="0.15">
      <c r="A21" s="359"/>
      <c r="B21" s="75"/>
      <c r="C21" s="54"/>
      <c r="D21" s="55"/>
      <c r="E21" s="56"/>
      <c r="F21" s="57"/>
      <c r="G21" s="79"/>
      <c r="H21" s="83"/>
      <c r="I21" s="55"/>
      <c r="J21" s="57"/>
      <c r="K21" s="57"/>
      <c r="L21" s="57"/>
      <c r="M21" s="57"/>
      <c r="N21" s="87"/>
      <c r="O21" s="75"/>
      <c r="P21" s="58" t="s">
        <v>43</v>
      </c>
      <c r="Q21" s="55"/>
      <c r="R21" s="59">
        <v>0.1</v>
      </c>
      <c r="S21" s="56">
        <f>ROUNDUP(R21*0.75,2)</f>
        <v>0.08</v>
      </c>
      <c r="T21" s="71"/>
    </row>
    <row r="22" spans="1:20" ht="18.75" customHeight="1" thickBot="1" x14ac:dyDescent="0.2">
      <c r="A22" s="360"/>
      <c r="B22" s="76"/>
      <c r="C22" s="61"/>
      <c r="D22" s="62"/>
      <c r="E22" s="63"/>
      <c r="F22" s="64"/>
      <c r="G22" s="80"/>
      <c r="H22" s="84"/>
      <c r="I22" s="62"/>
      <c r="J22" s="64"/>
      <c r="K22" s="64"/>
      <c r="L22" s="64"/>
      <c r="M22" s="64"/>
      <c r="N22" s="88"/>
      <c r="O22" s="76"/>
      <c r="P22" s="65"/>
      <c r="Q22" s="62"/>
      <c r="R22" s="66"/>
      <c r="S22" s="63"/>
      <c r="T22" s="72"/>
    </row>
  </sheetData>
  <mergeCells count="4">
    <mergeCell ref="H1:O1"/>
    <mergeCell ref="A2:T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177</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351</v>
      </c>
      <c r="I5" s="371" t="s">
        <v>309</v>
      </c>
      <c r="J5" s="372"/>
      <c r="K5" s="372"/>
      <c r="L5" s="373" t="s">
        <v>308</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350</v>
      </c>
      <c r="C9" s="96" t="s">
        <v>184</v>
      </c>
      <c r="D9" s="96" t="s">
        <v>55</v>
      </c>
      <c r="E9" s="55"/>
      <c r="F9" s="121"/>
      <c r="G9" s="136"/>
      <c r="H9" s="115">
        <v>20</v>
      </c>
      <c r="I9" s="127" t="s">
        <v>349</v>
      </c>
      <c r="J9" s="98" t="s">
        <v>122</v>
      </c>
      <c r="K9" s="141">
        <v>10</v>
      </c>
      <c r="L9" s="136" t="s">
        <v>348</v>
      </c>
      <c r="M9" s="96" t="s">
        <v>33</v>
      </c>
      <c r="N9" s="115">
        <v>10</v>
      </c>
      <c r="O9" s="111"/>
    </row>
    <row r="10" spans="1:21" ht="20.100000000000001" customHeight="1" x14ac:dyDescent="0.15">
      <c r="A10" s="379"/>
      <c r="B10" s="96"/>
      <c r="C10" s="96" t="s">
        <v>33</v>
      </c>
      <c r="D10" s="96"/>
      <c r="E10" s="55"/>
      <c r="F10" s="121"/>
      <c r="G10" s="136"/>
      <c r="H10" s="115">
        <v>20</v>
      </c>
      <c r="I10" s="127"/>
      <c r="J10" s="96" t="s">
        <v>33</v>
      </c>
      <c r="K10" s="141">
        <v>20</v>
      </c>
      <c r="L10" s="135"/>
      <c r="M10" s="97"/>
      <c r="N10" s="114"/>
      <c r="O10" s="110"/>
    </row>
    <row r="11" spans="1:21" ht="20.100000000000001" customHeight="1" x14ac:dyDescent="0.15">
      <c r="A11" s="379"/>
      <c r="B11" s="96"/>
      <c r="C11" s="96" t="s">
        <v>125</v>
      </c>
      <c r="D11" s="96"/>
      <c r="E11" s="55"/>
      <c r="F11" s="121"/>
      <c r="G11" s="136"/>
      <c r="H11" s="115">
        <v>5</v>
      </c>
      <c r="I11" s="127"/>
      <c r="J11" s="96" t="s">
        <v>125</v>
      </c>
      <c r="K11" s="141">
        <v>5</v>
      </c>
      <c r="L11" s="136" t="s">
        <v>347</v>
      </c>
      <c r="M11" s="96" t="s">
        <v>64</v>
      </c>
      <c r="N11" s="115">
        <v>10</v>
      </c>
      <c r="O11" s="111"/>
    </row>
    <row r="12" spans="1:21" ht="20.100000000000001" customHeight="1" x14ac:dyDescent="0.15">
      <c r="A12" s="379"/>
      <c r="B12" s="96"/>
      <c r="C12" s="96"/>
      <c r="D12" s="96"/>
      <c r="E12" s="55"/>
      <c r="F12" s="121"/>
      <c r="G12" s="136" t="s">
        <v>23</v>
      </c>
      <c r="H12" s="115" t="s">
        <v>292</v>
      </c>
      <c r="I12" s="127"/>
      <c r="J12" s="96"/>
      <c r="K12" s="141"/>
      <c r="L12" s="136"/>
      <c r="M12" s="96" t="s">
        <v>188</v>
      </c>
      <c r="N12" s="115">
        <v>5</v>
      </c>
      <c r="O12" s="111" t="s">
        <v>31</v>
      </c>
    </row>
    <row r="13" spans="1:21" ht="20.100000000000001" customHeight="1" x14ac:dyDescent="0.15">
      <c r="A13" s="379"/>
      <c r="B13" s="96"/>
      <c r="C13" s="96"/>
      <c r="D13" s="96"/>
      <c r="E13" s="55"/>
      <c r="F13" s="121"/>
      <c r="G13" s="136" t="s">
        <v>24</v>
      </c>
      <c r="H13" s="115" t="s">
        <v>294</v>
      </c>
      <c r="I13" s="127"/>
      <c r="J13" s="96"/>
      <c r="K13" s="141"/>
      <c r="L13" s="135"/>
      <c r="M13" s="97"/>
      <c r="N13" s="114"/>
      <c r="O13" s="110"/>
    </row>
    <row r="14" spans="1:21" ht="20.100000000000001" customHeight="1" x14ac:dyDescent="0.15">
      <c r="A14" s="379"/>
      <c r="B14" s="96"/>
      <c r="C14" s="96"/>
      <c r="D14" s="96"/>
      <c r="E14" s="55"/>
      <c r="F14" s="121" t="s">
        <v>26</v>
      </c>
      <c r="G14" s="136" t="s">
        <v>25</v>
      </c>
      <c r="H14" s="115" t="s">
        <v>294</v>
      </c>
      <c r="I14" s="127"/>
      <c r="J14" s="96"/>
      <c r="K14" s="141"/>
      <c r="L14" s="136" t="s">
        <v>346</v>
      </c>
      <c r="M14" s="96" t="s">
        <v>124</v>
      </c>
      <c r="N14" s="115">
        <v>5</v>
      </c>
      <c r="O14" s="111"/>
    </row>
    <row r="15" spans="1:21" ht="20.100000000000001" customHeight="1" x14ac:dyDescent="0.15">
      <c r="A15" s="379"/>
      <c r="B15" s="97"/>
      <c r="C15" s="97"/>
      <c r="D15" s="97"/>
      <c r="E15" s="49"/>
      <c r="F15" s="120"/>
      <c r="G15" s="135"/>
      <c r="H15" s="114"/>
      <c r="I15" s="126"/>
      <c r="J15" s="97"/>
      <c r="K15" s="139"/>
      <c r="L15" s="136"/>
      <c r="M15" s="96"/>
      <c r="N15" s="115"/>
      <c r="O15" s="111"/>
    </row>
    <row r="16" spans="1:21" ht="20.100000000000001" customHeight="1" x14ac:dyDescent="0.15">
      <c r="A16" s="379"/>
      <c r="B16" s="96" t="s">
        <v>186</v>
      </c>
      <c r="C16" s="96" t="s">
        <v>64</v>
      </c>
      <c r="D16" s="96"/>
      <c r="E16" s="55"/>
      <c r="F16" s="121"/>
      <c r="G16" s="136"/>
      <c r="H16" s="115">
        <v>20</v>
      </c>
      <c r="I16" s="127" t="s">
        <v>345</v>
      </c>
      <c r="J16" s="96" t="s">
        <v>64</v>
      </c>
      <c r="K16" s="141">
        <v>10</v>
      </c>
      <c r="L16" s="136"/>
      <c r="M16" s="96"/>
      <c r="N16" s="115"/>
      <c r="O16" s="111"/>
    </row>
    <row r="17" spans="1:15" ht="20.100000000000001" customHeight="1" x14ac:dyDescent="0.15">
      <c r="A17" s="379"/>
      <c r="B17" s="96"/>
      <c r="C17" s="96" t="s">
        <v>188</v>
      </c>
      <c r="D17" s="96" t="s">
        <v>31</v>
      </c>
      <c r="E17" s="55"/>
      <c r="F17" s="121"/>
      <c r="G17" s="136"/>
      <c r="H17" s="115">
        <v>5</v>
      </c>
      <c r="I17" s="127"/>
      <c r="J17" s="96" t="s">
        <v>188</v>
      </c>
      <c r="K17" s="141">
        <v>5</v>
      </c>
      <c r="L17" s="136"/>
      <c r="M17" s="96"/>
      <c r="N17" s="115"/>
      <c r="O17" s="111"/>
    </row>
    <row r="18" spans="1:15" ht="20.100000000000001" customHeight="1" x14ac:dyDescent="0.15">
      <c r="A18" s="379"/>
      <c r="B18" s="96"/>
      <c r="C18" s="96" t="s">
        <v>97</v>
      </c>
      <c r="D18" s="96" t="s">
        <v>55</v>
      </c>
      <c r="E18" s="55"/>
      <c r="F18" s="121"/>
      <c r="G18" s="136"/>
      <c r="H18" s="115">
        <v>5</v>
      </c>
      <c r="I18" s="126"/>
      <c r="J18" s="97"/>
      <c r="K18" s="139"/>
      <c r="L18" s="136"/>
      <c r="M18" s="96"/>
      <c r="N18" s="115"/>
      <c r="O18" s="111"/>
    </row>
    <row r="19" spans="1:15" ht="20.100000000000001" customHeight="1" x14ac:dyDescent="0.15">
      <c r="A19" s="379"/>
      <c r="B19" s="97"/>
      <c r="C19" s="97"/>
      <c r="D19" s="97"/>
      <c r="E19" s="49"/>
      <c r="F19" s="145"/>
      <c r="G19" s="135"/>
      <c r="H19" s="114"/>
      <c r="I19" s="127" t="s">
        <v>87</v>
      </c>
      <c r="J19" s="96" t="s">
        <v>124</v>
      </c>
      <c r="K19" s="141">
        <v>5</v>
      </c>
      <c r="L19" s="136"/>
      <c r="M19" s="96"/>
      <c r="N19" s="115"/>
      <c r="O19" s="111"/>
    </row>
    <row r="20" spans="1:15" ht="20.100000000000001" customHeight="1" x14ac:dyDescent="0.15">
      <c r="A20" s="379"/>
      <c r="B20" s="96" t="s">
        <v>87</v>
      </c>
      <c r="C20" s="96" t="s">
        <v>124</v>
      </c>
      <c r="D20" s="96"/>
      <c r="E20" s="55"/>
      <c r="F20" s="121"/>
      <c r="G20" s="136"/>
      <c r="H20" s="115">
        <v>10</v>
      </c>
      <c r="I20" s="127"/>
      <c r="J20" s="96" t="s">
        <v>41</v>
      </c>
      <c r="K20" s="141">
        <v>0.5</v>
      </c>
      <c r="L20" s="136"/>
      <c r="M20" s="96"/>
      <c r="N20" s="115"/>
      <c r="O20" s="111"/>
    </row>
    <row r="21" spans="1:15" ht="20.100000000000001" customHeight="1" x14ac:dyDescent="0.15">
      <c r="A21" s="379"/>
      <c r="B21" s="96"/>
      <c r="C21" s="96" t="s">
        <v>41</v>
      </c>
      <c r="D21" s="96" t="s">
        <v>42</v>
      </c>
      <c r="E21" s="55"/>
      <c r="F21" s="121"/>
      <c r="G21" s="136"/>
      <c r="H21" s="115">
        <v>0.5</v>
      </c>
      <c r="I21" s="127"/>
      <c r="J21" s="96"/>
      <c r="K21" s="141"/>
      <c r="L21" s="136"/>
      <c r="M21" s="96"/>
      <c r="N21" s="115"/>
      <c r="O21" s="111"/>
    </row>
    <row r="22" spans="1:15" ht="20.100000000000001" customHeight="1" x14ac:dyDescent="0.15">
      <c r="A22" s="379"/>
      <c r="B22" s="96"/>
      <c r="C22" s="96"/>
      <c r="D22" s="96"/>
      <c r="E22" s="55"/>
      <c r="F22" s="121"/>
      <c r="G22" s="136" t="s">
        <v>50</v>
      </c>
      <c r="H22" s="115" t="s">
        <v>292</v>
      </c>
      <c r="I22" s="127"/>
      <c r="J22" s="96"/>
      <c r="K22" s="141"/>
      <c r="L22" s="136"/>
      <c r="M22" s="96"/>
      <c r="N22" s="115"/>
      <c r="O22" s="111"/>
    </row>
    <row r="23" spans="1:15" ht="20.100000000000001" customHeight="1" thickBot="1" x14ac:dyDescent="0.2">
      <c r="A23" s="380"/>
      <c r="B23" s="95"/>
      <c r="C23" s="95"/>
      <c r="D23" s="95"/>
      <c r="E23" s="62"/>
      <c r="F23" s="123"/>
      <c r="G23" s="137"/>
      <c r="H23" s="117"/>
      <c r="I23" s="128"/>
      <c r="J23" s="95"/>
      <c r="K23" s="142"/>
      <c r="L23" s="137"/>
      <c r="M23" s="95"/>
      <c r="N23" s="117"/>
      <c r="O23" s="112"/>
    </row>
    <row r="24" spans="1:15" ht="14.25" x14ac:dyDescent="0.15">
      <c r="B24" s="94"/>
      <c r="C24" s="94"/>
      <c r="D24" s="94"/>
      <c r="G24" s="94"/>
      <c r="H24" s="93"/>
      <c r="I24" s="94"/>
      <c r="J24" s="94"/>
      <c r="K24" s="93"/>
      <c r="L24" s="94"/>
      <c r="M24" s="94"/>
      <c r="N24" s="93"/>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3">
    <mergeCell ref="A7:A23"/>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189</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190</v>
      </c>
      <c r="C7" s="54" t="s">
        <v>95</v>
      </c>
      <c r="D7" s="55"/>
      <c r="E7" s="56">
        <v>1</v>
      </c>
      <c r="F7" s="57" t="s">
        <v>20</v>
      </c>
      <c r="G7" s="79" t="s">
        <v>96</v>
      </c>
      <c r="H7" s="83" t="s">
        <v>95</v>
      </c>
      <c r="I7" s="55"/>
      <c r="J7" s="57">
        <f>ROUNDUP(E7*0.75,2)</f>
        <v>0.75</v>
      </c>
      <c r="K7" s="57" t="s">
        <v>20</v>
      </c>
      <c r="L7" s="57" t="s">
        <v>96</v>
      </c>
      <c r="M7" s="57"/>
      <c r="N7" s="87">
        <f>M7</f>
        <v>0</v>
      </c>
      <c r="O7" s="75" t="s">
        <v>270</v>
      </c>
      <c r="P7" s="58" t="s">
        <v>37</v>
      </c>
      <c r="Q7" s="55"/>
      <c r="R7" s="59">
        <v>0.5</v>
      </c>
      <c r="S7" s="56">
        <f t="shared" ref="S7:S12" si="0">ROUNDUP(R7*0.75,2)</f>
        <v>0.38</v>
      </c>
      <c r="T7" s="71"/>
    </row>
    <row r="8" spans="1:21" ht="18.75" customHeight="1" x14ac:dyDescent="0.15">
      <c r="A8" s="359"/>
      <c r="B8" s="75"/>
      <c r="C8" s="54" t="s">
        <v>35</v>
      </c>
      <c r="D8" s="55" t="s">
        <v>36</v>
      </c>
      <c r="E8" s="67">
        <v>0.25</v>
      </c>
      <c r="F8" s="57" t="s">
        <v>32</v>
      </c>
      <c r="G8" s="79"/>
      <c r="H8" s="83" t="s">
        <v>35</v>
      </c>
      <c r="I8" s="55" t="s">
        <v>36</v>
      </c>
      <c r="J8" s="57">
        <f>ROUNDUP(E8*0.75,2)</f>
        <v>0.19</v>
      </c>
      <c r="K8" s="57" t="s">
        <v>32</v>
      </c>
      <c r="L8" s="57"/>
      <c r="M8" s="57"/>
      <c r="N8" s="87">
        <f>M8</f>
        <v>0</v>
      </c>
      <c r="O8" s="75" t="s">
        <v>271</v>
      </c>
      <c r="P8" s="58" t="s">
        <v>121</v>
      </c>
      <c r="Q8" s="55" t="s">
        <v>26</v>
      </c>
      <c r="R8" s="59">
        <v>3</v>
      </c>
      <c r="S8" s="56">
        <f t="shared" si="0"/>
        <v>2.25</v>
      </c>
      <c r="T8" s="71"/>
    </row>
    <row r="9" spans="1:21" ht="18.75" customHeight="1" x14ac:dyDescent="0.15">
      <c r="A9" s="359"/>
      <c r="B9" s="75"/>
      <c r="C9" s="54" t="s">
        <v>174</v>
      </c>
      <c r="D9" s="55"/>
      <c r="E9" s="56">
        <v>0.5</v>
      </c>
      <c r="F9" s="57" t="s">
        <v>29</v>
      </c>
      <c r="G9" s="79"/>
      <c r="H9" s="83" t="s">
        <v>174</v>
      </c>
      <c r="I9" s="55"/>
      <c r="J9" s="57">
        <f>ROUNDUP(E9*0.75,2)</f>
        <v>0.38</v>
      </c>
      <c r="K9" s="57" t="s">
        <v>29</v>
      </c>
      <c r="L9" s="57"/>
      <c r="M9" s="57"/>
      <c r="N9" s="87">
        <f>ROUND(M9+(M9*10/100),2)</f>
        <v>0</v>
      </c>
      <c r="O9" s="75" t="s">
        <v>192</v>
      </c>
      <c r="P9" s="58" t="s">
        <v>22</v>
      </c>
      <c r="Q9" s="55"/>
      <c r="R9" s="59">
        <v>2</v>
      </c>
      <c r="S9" s="56">
        <f t="shared" si="0"/>
        <v>1.5</v>
      </c>
      <c r="T9" s="71"/>
    </row>
    <row r="10" spans="1:21" ht="18.75" customHeight="1" x14ac:dyDescent="0.15">
      <c r="A10" s="359"/>
      <c r="B10" s="75"/>
      <c r="C10" s="54" t="s">
        <v>155</v>
      </c>
      <c r="D10" s="55"/>
      <c r="E10" s="56">
        <v>20</v>
      </c>
      <c r="F10" s="57" t="s">
        <v>29</v>
      </c>
      <c r="G10" s="79"/>
      <c r="H10" s="83" t="s">
        <v>155</v>
      </c>
      <c r="I10" s="55"/>
      <c r="J10" s="57">
        <f>ROUNDUP(E10*0.75,2)</f>
        <v>15</v>
      </c>
      <c r="K10" s="57" t="s">
        <v>29</v>
      </c>
      <c r="L10" s="57"/>
      <c r="M10" s="57"/>
      <c r="N10" s="87">
        <f>ROUND(M10+(M10*3/100),2)</f>
        <v>0</v>
      </c>
      <c r="O10" s="75" t="s">
        <v>193</v>
      </c>
      <c r="P10" s="58" t="s">
        <v>171</v>
      </c>
      <c r="Q10" s="55" t="s">
        <v>172</v>
      </c>
      <c r="R10" s="59">
        <v>4</v>
      </c>
      <c r="S10" s="56">
        <f t="shared" si="0"/>
        <v>3</v>
      </c>
      <c r="T10" s="71"/>
    </row>
    <row r="11" spans="1:21" ht="18.75" customHeight="1" x14ac:dyDescent="0.15">
      <c r="A11" s="359"/>
      <c r="B11" s="75"/>
      <c r="C11" s="54"/>
      <c r="D11" s="55"/>
      <c r="E11" s="56"/>
      <c r="F11" s="57"/>
      <c r="G11" s="79"/>
      <c r="H11" s="83"/>
      <c r="I11" s="55"/>
      <c r="J11" s="57"/>
      <c r="K11" s="57"/>
      <c r="L11" s="57"/>
      <c r="M11" s="57"/>
      <c r="N11" s="87"/>
      <c r="O11" s="75" t="s">
        <v>194</v>
      </c>
      <c r="P11" s="58" t="s">
        <v>43</v>
      </c>
      <c r="Q11" s="55"/>
      <c r="R11" s="59">
        <v>0.1</v>
      </c>
      <c r="S11" s="56">
        <f t="shared" si="0"/>
        <v>0.08</v>
      </c>
      <c r="T11" s="71"/>
    </row>
    <row r="12" spans="1:21" ht="18.75" customHeight="1" x14ac:dyDescent="0.15">
      <c r="A12" s="359"/>
      <c r="B12" s="75"/>
      <c r="C12" s="54"/>
      <c r="D12" s="55"/>
      <c r="E12" s="56"/>
      <c r="F12" s="57"/>
      <c r="G12" s="79"/>
      <c r="H12" s="83"/>
      <c r="I12" s="55"/>
      <c r="J12" s="57"/>
      <c r="K12" s="57"/>
      <c r="L12" s="57"/>
      <c r="M12" s="57"/>
      <c r="N12" s="87"/>
      <c r="O12" s="75" t="s">
        <v>54</v>
      </c>
      <c r="P12" s="58" t="s">
        <v>78</v>
      </c>
      <c r="Q12" s="55"/>
      <c r="R12" s="59">
        <v>0.01</v>
      </c>
      <c r="S12" s="56">
        <f t="shared" si="0"/>
        <v>0.01</v>
      </c>
      <c r="T12" s="71"/>
    </row>
    <row r="13" spans="1:21" ht="18.75" customHeight="1" x14ac:dyDescent="0.15">
      <c r="A13" s="359"/>
      <c r="B13" s="75"/>
      <c r="C13" s="54"/>
      <c r="D13" s="55"/>
      <c r="E13" s="56"/>
      <c r="F13" s="57"/>
      <c r="G13" s="79"/>
      <c r="H13" s="83"/>
      <c r="I13" s="55"/>
      <c r="J13" s="57"/>
      <c r="K13" s="57"/>
      <c r="L13" s="57"/>
      <c r="M13" s="57"/>
      <c r="N13" s="87"/>
      <c r="O13" s="75"/>
      <c r="P13" s="58"/>
      <c r="Q13" s="55"/>
      <c r="R13" s="59"/>
      <c r="S13" s="56"/>
      <c r="T13" s="71"/>
    </row>
    <row r="14" spans="1:21" ht="18.75" customHeight="1" x14ac:dyDescent="0.15">
      <c r="A14" s="359"/>
      <c r="B14" s="74"/>
      <c r="C14" s="48"/>
      <c r="D14" s="49"/>
      <c r="E14" s="50"/>
      <c r="F14" s="51"/>
      <c r="G14" s="78"/>
      <c r="H14" s="82"/>
      <c r="I14" s="49"/>
      <c r="J14" s="51"/>
      <c r="K14" s="51"/>
      <c r="L14" s="51"/>
      <c r="M14" s="51"/>
      <c r="N14" s="86"/>
      <c r="O14" s="74"/>
      <c r="P14" s="52"/>
      <c r="Q14" s="49"/>
      <c r="R14" s="53"/>
      <c r="S14" s="50"/>
      <c r="T14" s="70"/>
    </row>
    <row r="15" spans="1:21" ht="18.75" customHeight="1" x14ac:dyDescent="0.15">
      <c r="A15" s="359"/>
      <c r="B15" s="75" t="s">
        <v>195</v>
      </c>
      <c r="C15" s="54" t="s">
        <v>28</v>
      </c>
      <c r="D15" s="55"/>
      <c r="E15" s="56">
        <v>20</v>
      </c>
      <c r="F15" s="57" t="s">
        <v>29</v>
      </c>
      <c r="G15" s="79"/>
      <c r="H15" s="83" t="s">
        <v>28</v>
      </c>
      <c r="I15" s="55"/>
      <c r="J15" s="57">
        <f>ROUNDUP(E15*0.75,2)</f>
        <v>15</v>
      </c>
      <c r="K15" s="57" t="s">
        <v>29</v>
      </c>
      <c r="L15" s="57"/>
      <c r="M15" s="57"/>
      <c r="N15" s="87">
        <f>ROUND(M15+(M15*10/100),2)</f>
        <v>0</v>
      </c>
      <c r="O15" s="75" t="s">
        <v>196</v>
      </c>
      <c r="P15" s="58" t="s">
        <v>21</v>
      </c>
      <c r="Q15" s="55"/>
      <c r="R15" s="59">
        <v>1</v>
      </c>
      <c r="S15" s="56">
        <f>ROUNDUP(R15*0.75,2)</f>
        <v>0.75</v>
      </c>
      <c r="T15" s="71"/>
    </row>
    <row r="16" spans="1:21" ht="18.75" customHeight="1" x14ac:dyDescent="0.15">
      <c r="A16" s="359"/>
      <c r="B16" s="75"/>
      <c r="C16" s="54" t="s">
        <v>99</v>
      </c>
      <c r="D16" s="55"/>
      <c r="E16" s="56">
        <v>10</v>
      </c>
      <c r="F16" s="57" t="s">
        <v>29</v>
      </c>
      <c r="G16" s="79"/>
      <c r="H16" s="83" t="s">
        <v>99</v>
      </c>
      <c r="I16" s="55"/>
      <c r="J16" s="57">
        <f>ROUNDUP(E16*0.75,2)</f>
        <v>7.5</v>
      </c>
      <c r="K16" s="57" t="s">
        <v>29</v>
      </c>
      <c r="L16" s="57"/>
      <c r="M16" s="57"/>
      <c r="N16" s="87">
        <f>ROUND(M16+(M16*10/100),2)</f>
        <v>0</v>
      </c>
      <c r="O16" s="75" t="s">
        <v>197</v>
      </c>
      <c r="P16" s="58" t="s">
        <v>22</v>
      </c>
      <c r="Q16" s="55"/>
      <c r="R16" s="59">
        <v>3</v>
      </c>
      <c r="S16" s="56">
        <f>ROUNDUP(R16*0.75,2)</f>
        <v>2.25</v>
      </c>
      <c r="T16" s="71"/>
    </row>
    <row r="17" spans="1:20" ht="18.75" customHeight="1" x14ac:dyDescent="0.15">
      <c r="A17" s="359"/>
      <c r="B17" s="75"/>
      <c r="C17" s="54" t="s">
        <v>100</v>
      </c>
      <c r="D17" s="55"/>
      <c r="E17" s="56">
        <v>0.5</v>
      </c>
      <c r="F17" s="57" t="s">
        <v>29</v>
      </c>
      <c r="G17" s="79" t="s">
        <v>55</v>
      </c>
      <c r="H17" s="83" t="s">
        <v>100</v>
      </c>
      <c r="I17" s="55"/>
      <c r="J17" s="57">
        <f>ROUNDUP(E17*0.75,2)</f>
        <v>0.38</v>
      </c>
      <c r="K17" s="57" t="s">
        <v>29</v>
      </c>
      <c r="L17" s="57" t="s">
        <v>55</v>
      </c>
      <c r="M17" s="57"/>
      <c r="N17" s="87">
        <f>M17</f>
        <v>0</v>
      </c>
      <c r="O17" s="75" t="s">
        <v>198</v>
      </c>
      <c r="P17" s="58" t="s">
        <v>43</v>
      </c>
      <c r="Q17" s="55"/>
      <c r="R17" s="59">
        <v>0.05</v>
      </c>
      <c r="S17" s="56">
        <f>ROUNDUP(R17*0.75,2)</f>
        <v>0.04</v>
      </c>
      <c r="T17" s="71"/>
    </row>
    <row r="18" spans="1:20" ht="18.75" customHeight="1" x14ac:dyDescent="0.15">
      <c r="A18" s="359"/>
      <c r="B18" s="75"/>
      <c r="C18" s="54"/>
      <c r="D18" s="55"/>
      <c r="E18" s="56"/>
      <c r="F18" s="57"/>
      <c r="G18" s="79"/>
      <c r="H18" s="83"/>
      <c r="I18" s="55"/>
      <c r="J18" s="57"/>
      <c r="K18" s="57"/>
      <c r="L18" s="57"/>
      <c r="M18" s="57"/>
      <c r="N18" s="87"/>
      <c r="O18" s="75" t="s">
        <v>199</v>
      </c>
      <c r="P18" s="58"/>
      <c r="Q18" s="55"/>
      <c r="R18" s="59"/>
      <c r="S18" s="56"/>
      <c r="T18" s="71"/>
    </row>
    <row r="19" spans="1:20" ht="18.75" customHeight="1" x14ac:dyDescent="0.15">
      <c r="A19" s="359"/>
      <c r="B19" s="75"/>
      <c r="C19" s="54"/>
      <c r="D19" s="55"/>
      <c r="E19" s="56"/>
      <c r="F19" s="57"/>
      <c r="G19" s="79"/>
      <c r="H19" s="83"/>
      <c r="I19" s="55"/>
      <c r="J19" s="57"/>
      <c r="K19" s="57"/>
      <c r="L19" s="57"/>
      <c r="M19" s="57"/>
      <c r="N19" s="87"/>
      <c r="O19" s="75" t="s">
        <v>19</v>
      </c>
      <c r="P19" s="58"/>
      <c r="Q19" s="55"/>
      <c r="R19" s="59"/>
      <c r="S19" s="56"/>
      <c r="T19" s="71"/>
    </row>
    <row r="20" spans="1:20" ht="18.75" customHeight="1" x14ac:dyDescent="0.15">
      <c r="A20" s="359"/>
      <c r="B20" s="74"/>
      <c r="C20" s="48"/>
      <c r="D20" s="49"/>
      <c r="E20" s="50"/>
      <c r="F20" s="51"/>
      <c r="G20" s="78"/>
      <c r="H20" s="82"/>
      <c r="I20" s="49"/>
      <c r="J20" s="51"/>
      <c r="K20" s="51"/>
      <c r="L20" s="51"/>
      <c r="M20" s="51"/>
      <c r="N20" s="86"/>
      <c r="O20" s="74"/>
      <c r="P20" s="52"/>
      <c r="Q20" s="49"/>
      <c r="R20" s="53"/>
      <c r="S20" s="50"/>
      <c r="T20" s="70"/>
    </row>
    <row r="21" spans="1:20" ht="18.75" customHeight="1" x14ac:dyDescent="0.15">
      <c r="A21" s="359"/>
      <c r="B21" s="75" t="s">
        <v>63</v>
      </c>
      <c r="C21" s="54" t="s">
        <v>34</v>
      </c>
      <c r="D21" s="55"/>
      <c r="E21" s="56">
        <v>20</v>
      </c>
      <c r="F21" s="57" t="s">
        <v>29</v>
      </c>
      <c r="G21" s="79" t="s">
        <v>31</v>
      </c>
      <c r="H21" s="83" t="s">
        <v>34</v>
      </c>
      <c r="I21" s="55"/>
      <c r="J21" s="57">
        <f>ROUNDUP(E21*0.75,2)</f>
        <v>15</v>
      </c>
      <c r="K21" s="57" t="s">
        <v>29</v>
      </c>
      <c r="L21" s="57" t="s">
        <v>31</v>
      </c>
      <c r="M21" s="57"/>
      <c r="N21" s="87">
        <f>M21</f>
        <v>0</v>
      </c>
      <c r="O21" s="75" t="s">
        <v>19</v>
      </c>
      <c r="P21" s="58" t="s">
        <v>23</v>
      </c>
      <c r="Q21" s="55"/>
      <c r="R21" s="59">
        <v>100</v>
      </c>
      <c r="S21" s="56">
        <f>ROUNDUP(R21*0.75,2)</f>
        <v>75</v>
      </c>
      <c r="T21" s="71"/>
    </row>
    <row r="22" spans="1:20" ht="18.75" customHeight="1" x14ac:dyDescent="0.15">
      <c r="A22" s="359"/>
      <c r="B22" s="75"/>
      <c r="C22" s="54" t="s">
        <v>65</v>
      </c>
      <c r="D22" s="55"/>
      <c r="E22" s="56">
        <v>5</v>
      </c>
      <c r="F22" s="57" t="s">
        <v>29</v>
      </c>
      <c r="G22" s="79"/>
      <c r="H22" s="83" t="s">
        <v>65</v>
      </c>
      <c r="I22" s="55"/>
      <c r="J22" s="57">
        <f>ROUNDUP(E22*0.75,2)</f>
        <v>3.75</v>
      </c>
      <c r="K22" s="57" t="s">
        <v>29</v>
      </c>
      <c r="L22" s="57"/>
      <c r="M22" s="57"/>
      <c r="N22" s="87">
        <f>ROUND(M22+(M22*15/100),2)</f>
        <v>0</v>
      </c>
      <c r="O22" s="75"/>
      <c r="P22" s="58" t="s">
        <v>66</v>
      </c>
      <c r="Q22" s="55"/>
      <c r="R22" s="59">
        <v>3</v>
      </c>
      <c r="S22" s="56">
        <f>ROUNDUP(R22*0.75,2)</f>
        <v>2.25</v>
      </c>
      <c r="T22" s="71"/>
    </row>
    <row r="23" spans="1:20" ht="18.75" customHeight="1" x14ac:dyDescent="0.15">
      <c r="A23" s="359"/>
      <c r="B23" s="74"/>
      <c r="C23" s="48"/>
      <c r="D23" s="49"/>
      <c r="E23" s="50"/>
      <c r="F23" s="51"/>
      <c r="G23" s="78"/>
      <c r="H23" s="82"/>
      <c r="I23" s="49"/>
      <c r="J23" s="51"/>
      <c r="K23" s="51"/>
      <c r="L23" s="51"/>
      <c r="M23" s="51"/>
      <c r="N23" s="86"/>
      <c r="O23" s="74"/>
      <c r="P23" s="52"/>
      <c r="Q23" s="49"/>
      <c r="R23" s="53"/>
      <c r="S23" s="50"/>
      <c r="T23" s="70"/>
    </row>
    <row r="24" spans="1:20" ht="18.75" customHeight="1" x14ac:dyDescent="0.15">
      <c r="A24" s="359"/>
      <c r="B24" s="75" t="s">
        <v>44</v>
      </c>
      <c r="C24" s="54" t="s">
        <v>48</v>
      </c>
      <c r="D24" s="55" t="s">
        <v>49</v>
      </c>
      <c r="E24" s="56">
        <v>40</v>
      </c>
      <c r="F24" s="57" t="s">
        <v>29</v>
      </c>
      <c r="G24" s="79"/>
      <c r="H24" s="83" t="s">
        <v>48</v>
      </c>
      <c r="I24" s="55" t="s">
        <v>49</v>
      </c>
      <c r="J24" s="57">
        <f>ROUNDUP(E24*0.75,2)</f>
        <v>30</v>
      </c>
      <c r="K24" s="57" t="s">
        <v>29</v>
      </c>
      <c r="L24" s="57"/>
      <c r="M24" s="57"/>
      <c r="N24" s="87">
        <f>M24</f>
        <v>0</v>
      </c>
      <c r="O24" s="75" t="s">
        <v>45</v>
      </c>
      <c r="P24" s="58" t="s">
        <v>24</v>
      </c>
      <c r="Q24" s="55"/>
      <c r="R24" s="59">
        <v>1</v>
      </c>
      <c r="S24" s="56">
        <f>ROUNDUP(R24*0.75,2)</f>
        <v>0.75</v>
      </c>
      <c r="T24" s="71"/>
    </row>
    <row r="25" spans="1:20" ht="18.75" customHeight="1" x14ac:dyDescent="0.15">
      <c r="A25" s="359"/>
      <c r="B25" s="75"/>
      <c r="C25" s="54"/>
      <c r="D25" s="55"/>
      <c r="E25" s="56"/>
      <c r="F25" s="57"/>
      <c r="G25" s="79"/>
      <c r="H25" s="83"/>
      <c r="I25" s="55"/>
      <c r="J25" s="57"/>
      <c r="K25" s="57"/>
      <c r="L25" s="57"/>
      <c r="M25" s="57"/>
      <c r="N25" s="87"/>
      <c r="O25" s="75" t="s">
        <v>46</v>
      </c>
      <c r="P25" s="58" t="s">
        <v>50</v>
      </c>
      <c r="Q25" s="55"/>
      <c r="R25" s="59">
        <v>3</v>
      </c>
      <c r="S25" s="56">
        <f>ROUNDUP(R25*0.75,2)</f>
        <v>2.25</v>
      </c>
      <c r="T25" s="71" t="e">
        <f>ROUNDUP((#REF!*R25)+(#REF!*S25)+(#REF!*(R25*2)),2)</f>
        <v>#REF!</v>
      </c>
    </row>
    <row r="26" spans="1:20" ht="18.75" customHeight="1" x14ac:dyDescent="0.15">
      <c r="A26" s="359"/>
      <c r="B26" s="75"/>
      <c r="C26" s="54"/>
      <c r="D26" s="55"/>
      <c r="E26" s="56"/>
      <c r="F26" s="57"/>
      <c r="G26" s="79"/>
      <c r="H26" s="83"/>
      <c r="I26" s="55"/>
      <c r="J26" s="57"/>
      <c r="K26" s="57"/>
      <c r="L26" s="57"/>
      <c r="M26" s="57"/>
      <c r="N26" s="87"/>
      <c r="O26" s="75" t="s">
        <v>47</v>
      </c>
      <c r="P26" s="58"/>
      <c r="Q26" s="55"/>
      <c r="R26" s="59"/>
      <c r="S26" s="56"/>
      <c r="T26" s="71"/>
    </row>
    <row r="27" spans="1:20" ht="18.75" customHeight="1" x14ac:dyDescent="0.15">
      <c r="A27" s="359"/>
      <c r="B27" s="75"/>
      <c r="C27" s="54"/>
      <c r="D27" s="55"/>
      <c r="E27" s="56"/>
      <c r="F27" s="57"/>
      <c r="G27" s="79"/>
      <c r="H27" s="83"/>
      <c r="I27" s="55"/>
      <c r="J27" s="57"/>
      <c r="K27" s="57"/>
      <c r="L27" s="57"/>
      <c r="M27" s="57"/>
      <c r="N27" s="87"/>
      <c r="O27" s="75" t="s">
        <v>19</v>
      </c>
      <c r="P27" s="58"/>
      <c r="Q27" s="55"/>
      <c r="R27" s="59"/>
      <c r="S27" s="56"/>
      <c r="T27" s="71"/>
    </row>
    <row r="28" spans="1:20" ht="18.75" customHeight="1" thickBot="1" x14ac:dyDescent="0.2">
      <c r="A28" s="360"/>
      <c r="B28" s="76"/>
      <c r="C28" s="61"/>
      <c r="D28" s="62"/>
      <c r="E28" s="63"/>
      <c r="F28" s="64"/>
      <c r="G28" s="80"/>
      <c r="H28" s="84"/>
      <c r="I28" s="62"/>
      <c r="J28" s="64"/>
      <c r="K28" s="64"/>
      <c r="L28" s="64"/>
      <c r="M28" s="64"/>
      <c r="N28" s="88"/>
      <c r="O28" s="76"/>
      <c r="P28" s="65"/>
      <c r="Q28" s="62"/>
      <c r="R28" s="66"/>
      <c r="S28" s="63"/>
      <c r="T28" s="72"/>
    </row>
  </sheetData>
  <mergeCells count="4">
    <mergeCell ref="H1:O1"/>
    <mergeCell ref="A2:T2"/>
    <mergeCell ref="A3:F3"/>
    <mergeCell ref="A5:A28"/>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359</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358</v>
      </c>
      <c r="I5" s="371" t="s">
        <v>309</v>
      </c>
      <c r="J5" s="372"/>
      <c r="K5" s="372"/>
      <c r="L5" s="373" t="s">
        <v>357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356</v>
      </c>
      <c r="C9" s="96" t="s">
        <v>95</v>
      </c>
      <c r="D9" s="96" t="s">
        <v>96</v>
      </c>
      <c r="E9" s="55"/>
      <c r="F9" s="121"/>
      <c r="G9" s="136"/>
      <c r="H9" s="147">
        <v>0.7</v>
      </c>
      <c r="I9" s="127" t="s">
        <v>356</v>
      </c>
      <c r="J9" s="96" t="s">
        <v>95</v>
      </c>
      <c r="K9" s="146">
        <v>0.3</v>
      </c>
      <c r="L9" s="136" t="s">
        <v>355</v>
      </c>
      <c r="M9" s="96" t="s">
        <v>155</v>
      </c>
      <c r="N9" s="115">
        <v>10</v>
      </c>
      <c r="O9" s="111"/>
    </row>
    <row r="10" spans="1:21" ht="20.100000000000001" customHeight="1" x14ac:dyDescent="0.15">
      <c r="A10" s="379"/>
      <c r="B10" s="96"/>
      <c r="C10" s="96" t="s">
        <v>155</v>
      </c>
      <c r="D10" s="96"/>
      <c r="E10" s="55"/>
      <c r="F10" s="121"/>
      <c r="G10" s="136"/>
      <c r="H10" s="115">
        <v>20</v>
      </c>
      <c r="I10" s="127"/>
      <c r="J10" s="96" t="s">
        <v>155</v>
      </c>
      <c r="K10" s="141">
        <v>20</v>
      </c>
      <c r="L10" s="136"/>
      <c r="M10" s="96" t="s">
        <v>95</v>
      </c>
      <c r="N10" s="148">
        <v>0.2</v>
      </c>
      <c r="O10" s="111" t="s">
        <v>96</v>
      </c>
    </row>
    <row r="11" spans="1:21" ht="20.100000000000001" customHeight="1" x14ac:dyDescent="0.15">
      <c r="A11" s="379"/>
      <c r="B11" s="96"/>
      <c r="C11" s="96" t="s">
        <v>35</v>
      </c>
      <c r="D11" s="96"/>
      <c r="E11" s="55" t="s">
        <v>36</v>
      </c>
      <c r="F11" s="121"/>
      <c r="G11" s="136"/>
      <c r="H11" s="144">
        <v>0.13</v>
      </c>
      <c r="I11" s="127"/>
      <c r="J11" s="96" t="s">
        <v>296</v>
      </c>
      <c r="K11" s="143">
        <v>0.13</v>
      </c>
      <c r="L11" s="135"/>
      <c r="M11" s="97"/>
      <c r="N11" s="114"/>
      <c r="O11" s="110"/>
    </row>
    <row r="12" spans="1:21" ht="20.100000000000001" customHeight="1" x14ac:dyDescent="0.15">
      <c r="A12" s="379"/>
      <c r="B12" s="96"/>
      <c r="C12" s="96"/>
      <c r="D12" s="96"/>
      <c r="E12" s="55"/>
      <c r="F12" s="121"/>
      <c r="G12" s="136" t="s">
        <v>50</v>
      </c>
      <c r="H12" s="115" t="s">
        <v>292</v>
      </c>
      <c r="I12" s="127"/>
      <c r="J12" s="96"/>
      <c r="K12" s="141"/>
      <c r="L12" s="136" t="s">
        <v>354</v>
      </c>
      <c r="M12" s="96" t="s">
        <v>28</v>
      </c>
      <c r="N12" s="115">
        <v>20</v>
      </c>
      <c r="O12" s="111"/>
    </row>
    <row r="13" spans="1:21" ht="20.100000000000001" customHeight="1" x14ac:dyDescent="0.15">
      <c r="A13" s="379"/>
      <c r="B13" s="96"/>
      <c r="C13" s="96"/>
      <c r="D13" s="96"/>
      <c r="E13" s="55"/>
      <c r="F13" s="121"/>
      <c r="G13" s="136" t="s">
        <v>43</v>
      </c>
      <c r="H13" s="115" t="s">
        <v>294</v>
      </c>
      <c r="I13" s="127"/>
      <c r="J13" s="96"/>
      <c r="K13" s="141"/>
      <c r="L13" s="135"/>
      <c r="M13" s="97"/>
      <c r="N13" s="114"/>
      <c r="O13" s="110"/>
    </row>
    <row r="14" spans="1:21" ht="20.100000000000001" customHeight="1" x14ac:dyDescent="0.15">
      <c r="A14" s="379"/>
      <c r="B14" s="97"/>
      <c r="C14" s="97"/>
      <c r="D14" s="97"/>
      <c r="E14" s="49"/>
      <c r="F14" s="120"/>
      <c r="G14" s="135"/>
      <c r="H14" s="114"/>
      <c r="I14" s="126"/>
      <c r="J14" s="97"/>
      <c r="K14" s="139"/>
      <c r="L14" s="136" t="s">
        <v>353</v>
      </c>
      <c r="M14" s="96" t="s">
        <v>34</v>
      </c>
      <c r="N14" s="115">
        <v>5</v>
      </c>
      <c r="O14" s="111" t="s">
        <v>31</v>
      </c>
    </row>
    <row r="15" spans="1:21" ht="20.100000000000001" customHeight="1" x14ac:dyDescent="0.15">
      <c r="A15" s="379"/>
      <c r="B15" s="96" t="s">
        <v>352</v>
      </c>
      <c r="C15" s="96" t="s">
        <v>28</v>
      </c>
      <c r="D15" s="96"/>
      <c r="E15" s="55"/>
      <c r="F15" s="121"/>
      <c r="G15" s="136"/>
      <c r="H15" s="115">
        <v>20</v>
      </c>
      <c r="I15" s="127" t="s">
        <v>352</v>
      </c>
      <c r="J15" s="96" t="s">
        <v>28</v>
      </c>
      <c r="K15" s="141">
        <v>20</v>
      </c>
      <c r="L15" s="135"/>
      <c r="M15" s="97"/>
      <c r="N15" s="114"/>
      <c r="O15" s="110"/>
    </row>
    <row r="16" spans="1:21" ht="20.100000000000001" customHeight="1" x14ac:dyDescent="0.15">
      <c r="A16" s="379"/>
      <c r="B16" s="96"/>
      <c r="C16" s="96"/>
      <c r="D16" s="96"/>
      <c r="E16" s="55"/>
      <c r="F16" s="121"/>
      <c r="G16" s="136" t="s">
        <v>23</v>
      </c>
      <c r="H16" s="115" t="s">
        <v>292</v>
      </c>
      <c r="I16" s="127"/>
      <c r="J16" s="96"/>
      <c r="K16" s="141"/>
      <c r="L16" s="136" t="s">
        <v>44</v>
      </c>
      <c r="M16" s="96" t="s">
        <v>48</v>
      </c>
      <c r="N16" s="115">
        <v>10</v>
      </c>
      <c r="O16" s="111"/>
    </row>
    <row r="17" spans="1:15" ht="20.100000000000001" customHeight="1" x14ac:dyDescent="0.15">
      <c r="A17" s="379"/>
      <c r="B17" s="97"/>
      <c r="C17" s="97"/>
      <c r="D17" s="97"/>
      <c r="E17" s="49"/>
      <c r="F17" s="120"/>
      <c r="G17" s="135"/>
      <c r="H17" s="114"/>
      <c r="I17" s="126"/>
      <c r="J17" s="97"/>
      <c r="K17" s="139"/>
      <c r="L17" s="136"/>
      <c r="M17" s="96"/>
      <c r="N17" s="115"/>
      <c r="O17" s="111"/>
    </row>
    <row r="18" spans="1:15" ht="20.100000000000001" customHeight="1" x14ac:dyDescent="0.15">
      <c r="A18" s="379"/>
      <c r="B18" s="96" t="s">
        <v>63</v>
      </c>
      <c r="C18" s="96" t="s">
        <v>34</v>
      </c>
      <c r="D18" s="96" t="s">
        <v>31</v>
      </c>
      <c r="E18" s="55"/>
      <c r="F18" s="121"/>
      <c r="G18" s="136"/>
      <c r="H18" s="115">
        <v>10</v>
      </c>
      <c r="I18" s="127" t="s">
        <v>63</v>
      </c>
      <c r="J18" s="96" t="s">
        <v>34</v>
      </c>
      <c r="K18" s="141">
        <v>5</v>
      </c>
      <c r="L18" s="136"/>
      <c r="M18" s="96"/>
      <c r="N18" s="115"/>
      <c r="O18" s="111"/>
    </row>
    <row r="19" spans="1:15" ht="20.100000000000001" customHeight="1" x14ac:dyDescent="0.15">
      <c r="A19" s="379"/>
      <c r="B19" s="96"/>
      <c r="C19" s="96" t="s">
        <v>65</v>
      </c>
      <c r="D19" s="96"/>
      <c r="E19" s="55"/>
      <c r="F19" s="122"/>
      <c r="G19" s="136"/>
      <c r="H19" s="115">
        <v>5</v>
      </c>
      <c r="I19" s="127"/>
      <c r="J19" s="96"/>
      <c r="K19" s="141"/>
      <c r="L19" s="136"/>
      <c r="M19" s="96"/>
      <c r="N19" s="115"/>
      <c r="O19" s="111"/>
    </row>
    <row r="20" spans="1:15" ht="20.100000000000001" customHeight="1" x14ac:dyDescent="0.15">
      <c r="A20" s="379"/>
      <c r="B20" s="96"/>
      <c r="C20" s="96"/>
      <c r="D20" s="96"/>
      <c r="E20" s="55"/>
      <c r="F20" s="121"/>
      <c r="G20" s="136" t="s">
        <v>23</v>
      </c>
      <c r="H20" s="115" t="s">
        <v>292</v>
      </c>
      <c r="I20" s="127"/>
      <c r="J20" s="96"/>
      <c r="K20" s="141"/>
      <c r="L20" s="136"/>
      <c r="M20" s="96"/>
      <c r="N20" s="115"/>
      <c r="O20" s="111"/>
    </row>
    <row r="21" spans="1:15" ht="20.100000000000001" customHeight="1" x14ac:dyDescent="0.15">
      <c r="A21" s="379"/>
      <c r="B21" s="96"/>
      <c r="C21" s="96"/>
      <c r="D21" s="96"/>
      <c r="E21" s="55"/>
      <c r="F21" s="121"/>
      <c r="G21" s="136" t="s">
        <v>66</v>
      </c>
      <c r="H21" s="115" t="s">
        <v>294</v>
      </c>
      <c r="I21" s="126"/>
      <c r="J21" s="97"/>
      <c r="K21" s="139"/>
      <c r="L21" s="136"/>
      <c r="M21" s="96"/>
      <c r="N21" s="115"/>
      <c r="O21" s="111"/>
    </row>
    <row r="22" spans="1:15" ht="20.100000000000001" customHeight="1" x14ac:dyDescent="0.15">
      <c r="A22" s="379"/>
      <c r="B22" s="97"/>
      <c r="C22" s="97"/>
      <c r="D22" s="97"/>
      <c r="E22" s="49"/>
      <c r="F22" s="120"/>
      <c r="G22" s="135"/>
      <c r="H22" s="114"/>
      <c r="I22" s="127" t="s">
        <v>44</v>
      </c>
      <c r="J22" s="96" t="s">
        <v>48</v>
      </c>
      <c r="K22" s="141">
        <v>20</v>
      </c>
      <c r="L22" s="136"/>
      <c r="M22" s="96"/>
      <c r="N22" s="115"/>
      <c r="O22" s="111"/>
    </row>
    <row r="23" spans="1:15" ht="20.100000000000001" customHeight="1" x14ac:dyDescent="0.15">
      <c r="A23" s="379"/>
      <c r="B23" s="96" t="s">
        <v>44</v>
      </c>
      <c r="C23" s="96" t="s">
        <v>48</v>
      </c>
      <c r="D23" s="96"/>
      <c r="E23" s="55" t="s">
        <v>49</v>
      </c>
      <c r="F23" s="121"/>
      <c r="G23" s="136"/>
      <c r="H23" s="115">
        <v>30</v>
      </c>
      <c r="I23" s="127"/>
      <c r="J23" s="96"/>
      <c r="K23" s="141"/>
      <c r="L23" s="136"/>
      <c r="M23" s="96"/>
      <c r="N23" s="115"/>
      <c r="O23" s="111"/>
    </row>
    <row r="24" spans="1:15" ht="20.100000000000001" customHeight="1" x14ac:dyDescent="0.15">
      <c r="A24" s="379"/>
      <c r="B24" s="96"/>
      <c r="C24" s="96"/>
      <c r="D24" s="96"/>
      <c r="E24" s="55"/>
      <c r="F24" s="121"/>
      <c r="G24" s="136" t="s">
        <v>24</v>
      </c>
      <c r="H24" s="115" t="s">
        <v>294</v>
      </c>
      <c r="I24" s="127"/>
      <c r="J24" s="96"/>
      <c r="K24" s="141"/>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200</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201</v>
      </c>
      <c r="C5" s="42" t="s">
        <v>184</v>
      </c>
      <c r="D5" s="43"/>
      <c r="E5" s="44">
        <v>30</v>
      </c>
      <c r="F5" s="45" t="s">
        <v>29</v>
      </c>
      <c r="G5" s="77" t="s">
        <v>55</v>
      </c>
      <c r="H5" s="81" t="s">
        <v>184</v>
      </c>
      <c r="I5" s="43"/>
      <c r="J5" s="45">
        <f>ROUNDUP(E5*0.75,2)</f>
        <v>22.5</v>
      </c>
      <c r="K5" s="45" t="s">
        <v>29</v>
      </c>
      <c r="L5" s="45" t="s">
        <v>55</v>
      </c>
      <c r="M5" s="45"/>
      <c r="N5" s="85">
        <f>M5</f>
        <v>0</v>
      </c>
      <c r="O5" s="73" t="s">
        <v>202</v>
      </c>
      <c r="P5" s="46" t="s">
        <v>18</v>
      </c>
      <c r="Q5" s="43"/>
      <c r="R5" s="47">
        <v>110</v>
      </c>
      <c r="S5" s="44">
        <f t="shared" ref="S5:S15" si="0">ROUNDUP(R5*0.75,2)</f>
        <v>82.5</v>
      </c>
      <c r="T5" s="69"/>
    </row>
    <row r="6" spans="1:21" ht="18.75" customHeight="1" x14ac:dyDescent="0.15">
      <c r="A6" s="359"/>
      <c r="B6" s="75"/>
      <c r="C6" s="54" t="s">
        <v>60</v>
      </c>
      <c r="D6" s="55"/>
      <c r="E6" s="56">
        <v>20</v>
      </c>
      <c r="F6" s="57" t="s">
        <v>29</v>
      </c>
      <c r="G6" s="79" t="s">
        <v>31</v>
      </c>
      <c r="H6" s="83" t="s">
        <v>60</v>
      </c>
      <c r="I6" s="55"/>
      <c r="J6" s="57">
        <f>ROUNDUP(E6*0.75,2)</f>
        <v>15</v>
      </c>
      <c r="K6" s="57" t="s">
        <v>29</v>
      </c>
      <c r="L6" s="57" t="s">
        <v>31</v>
      </c>
      <c r="M6" s="57"/>
      <c r="N6" s="87">
        <f>M6</f>
        <v>0</v>
      </c>
      <c r="O6" s="75" t="s">
        <v>203</v>
      </c>
      <c r="P6" s="58" t="s">
        <v>62</v>
      </c>
      <c r="Q6" s="55"/>
      <c r="R6" s="59">
        <v>1</v>
      </c>
      <c r="S6" s="56">
        <f t="shared" si="0"/>
        <v>0.75</v>
      </c>
      <c r="T6" s="71"/>
    </row>
    <row r="7" spans="1:21" ht="18.75" customHeight="1" x14ac:dyDescent="0.15">
      <c r="A7" s="359"/>
      <c r="B7" s="75"/>
      <c r="C7" s="54" t="s">
        <v>61</v>
      </c>
      <c r="D7" s="55"/>
      <c r="E7" s="56">
        <v>10</v>
      </c>
      <c r="F7" s="57" t="s">
        <v>29</v>
      </c>
      <c r="G7" s="79"/>
      <c r="H7" s="83" t="s">
        <v>61</v>
      </c>
      <c r="I7" s="55"/>
      <c r="J7" s="57">
        <f>ROUNDUP(E7*0.75,2)</f>
        <v>7.5</v>
      </c>
      <c r="K7" s="57" t="s">
        <v>29</v>
      </c>
      <c r="L7" s="57"/>
      <c r="M7" s="57"/>
      <c r="N7" s="87">
        <f>ROUND(M7+(M7*3/100),2)</f>
        <v>0</v>
      </c>
      <c r="O7" s="75" t="s">
        <v>204</v>
      </c>
      <c r="P7" s="58" t="s">
        <v>50</v>
      </c>
      <c r="Q7" s="55"/>
      <c r="R7" s="59">
        <v>20</v>
      </c>
      <c r="S7" s="56">
        <f t="shared" si="0"/>
        <v>15</v>
      </c>
      <c r="T7" s="71"/>
    </row>
    <row r="8" spans="1:21" ht="18.75" customHeight="1" x14ac:dyDescent="0.15">
      <c r="A8" s="359"/>
      <c r="B8" s="75"/>
      <c r="C8" s="54" t="s">
        <v>158</v>
      </c>
      <c r="D8" s="55"/>
      <c r="E8" s="56">
        <v>2</v>
      </c>
      <c r="F8" s="57" t="s">
        <v>29</v>
      </c>
      <c r="G8" s="79" t="s">
        <v>117</v>
      </c>
      <c r="H8" s="83" t="s">
        <v>158</v>
      </c>
      <c r="I8" s="55"/>
      <c r="J8" s="57">
        <f>ROUNDUP(E8*0.75,2)</f>
        <v>1.5</v>
      </c>
      <c r="K8" s="57" t="s">
        <v>29</v>
      </c>
      <c r="L8" s="57" t="s">
        <v>117</v>
      </c>
      <c r="M8" s="57"/>
      <c r="N8" s="87">
        <f>M8</f>
        <v>0</v>
      </c>
      <c r="O8" s="75" t="s">
        <v>205</v>
      </c>
      <c r="P8" s="58" t="s">
        <v>24</v>
      </c>
      <c r="Q8" s="55"/>
      <c r="R8" s="59">
        <v>2</v>
      </c>
      <c r="S8" s="56">
        <f t="shared" si="0"/>
        <v>1.5</v>
      </c>
      <c r="T8" s="71"/>
    </row>
    <row r="9" spans="1:21" ht="18.75" customHeight="1" x14ac:dyDescent="0.15">
      <c r="A9" s="359"/>
      <c r="B9" s="75"/>
      <c r="C9" s="54" t="s">
        <v>35</v>
      </c>
      <c r="D9" s="55" t="s">
        <v>36</v>
      </c>
      <c r="E9" s="67">
        <v>0.25</v>
      </c>
      <c r="F9" s="57" t="s">
        <v>32</v>
      </c>
      <c r="G9" s="79"/>
      <c r="H9" s="83" t="s">
        <v>35</v>
      </c>
      <c r="I9" s="55" t="s">
        <v>36</v>
      </c>
      <c r="J9" s="57">
        <f>ROUNDUP(E9*0.75,2)</f>
        <v>0.19</v>
      </c>
      <c r="K9" s="57" t="s">
        <v>32</v>
      </c>
      <c r="L9" s="57"/>
      <c r="M9" s="57"/>
      <c r="N9" s="87">
        <f>M9</f>
        <v>0</v>
      </c>
      <c r="O9" s="75" t="s">
        <v>54</v>
      </c>
      <c r="P9" s="58" t="s">
        <v>27</v>
      </c>
      <c r="Q9" s="55"/>
      <c r="R9" s="59">
        <v>1</v>
      </c>
      <c r="S9" s="56">
        <f t="shared" si="0"/>
        <v>0.75</v>
      </c>
      <c r="T9" s="71"/>
    </row>
    <row r="10" spans="1:21" ht="18.75" customHeight="1" x14ac:dyDescent="0.15">
      <c r="A10" s="359"/>
      <c r="B10" s="75"/>
      <c r="C10" s="54"/>
      <c r="D10" s="55"/>
      <c r="E10" s="56"/>
      <c r="F10" s="57"/>
      <c r="G10" s="79"/>
      <c r="H10" s="83"/>
      <c r="I10" s="55"/>
      <c r="J10" s="57"/>
      <c r="K10" s="57"/>
      <c r="L10" s="57"/>
      <c r="M10" s="57"/>
      <c r="N10" s="87"/>
      <c r="O10" s="75"/>
      <c r="P10" s="58" t="s">
        <v>66</v>
      </c>
      <c r="Q10" s="55"/>
      <c r="R10" s="59">
        <v>3</v>
      </c>
      <c r="S10" s="56">
        <f t="shared" si="0"/>
        <v>2.25</v>
      </c>
      <c r="T10" s="71"/>
    </row>
    <row r="11" spans="1:21" ht="18.75" customHeight="1" x14ac:dyDescent="0.15">
      <c r="A11" s="359"/>
      <c r="B11" s="75"/>
      <c r="C11" s="54"/>
      <c r="D11" s="55"/>
      <c r="E11" s="56"/>
      <c r="F11" s="57"/>
      <c r="G11" s="79"/>
      <c r="H11" s="83"/>
      <c r="I11" s="55"/>
      <c r="J11" s="57"/>
      <c r="K11" s="57"/>
      <c r="L11" s="57"/>
      <c r="M11" s="57"/>
      <c r="N11" s="87"/>
      <c r="O11" s="75"/>
      <c r="P11" s="58" t="s">
        <v>62</v>
      </c>
      <c r="Q11" s="55"/>
      <c r="R11" s="59">
        <v>1</v>
      </c>
      <c r="S11" s="56">
        <f t="shared" si="0"/>
        <v>0.75</v>
      </c>
      <c r="T11" s="71"/>
    </row>
    <row r="12" spans="1:21" ht="18.75" customHeight="1" x14ac:dyDescent="0.15">
      <c r="A12" s="359"/>
      <c r="B12" s="75"/>
      <c r="C12" s="54"/>
      <c r="D12" s="55"/>
      <c r="E12" s="56"/>
      <c r="F12" s="57"/>
      <c r="G12" s="79"/>
      <c r="H12" s="83"/>
      <c r="I12" s="55"/>
      <c r="J12" s="57"/>
      <c r="K12" s="57"/>
      <c r="L12" s="57"/>
      <c r="M12" s="57"/>
      <c r="N12" s="87"/>
      <c r="O12" s="75"/>
      <c r="P12" s="58" t="s">
        <v>43</v>
      </c>
      <c r="Q12" s="55"/>
      <c r="R12" s="59">
        <v>0.2</v>
      </c>
      <c r="S12" s="56">
        <f t="shared" si="0"/>
        <v>0.15</v>
      </c>
      <c r="T12" s="71"/>
    </row>
    <row r="13" spans="1:21" ht="18.75" customHeight="1" x14ac:dyDescent="0.15">
      <c r="A13" s="359"/>
      <c r="B13" s="75"/>
      <c r="C13" s="54"/>
      <c r="D13" s="55"/>
      <c r="E13" s="56"/>
      <c r="F13" s="57"/>
      <c r="G13" s="79"/>
      <c r="H13" s="83"/>
      <c r="I13" s="55"/>
      <c r="J13" s="57"/>
      <c r="K13" s="57"/>
      <c r="L13" s="57"/>
      <c r="M13" s="57"/>
      <c r="N13" s="87"/>
      <c r="O13" s="75"/>
      <c r="P13" s="58" t="s">
        <v>24</v>
      </c>
      <c r="Q13" s="55"/>
      <c r="R13" s="59">
        <v>0.5</v>
      </c>
      <c r="S13" s="56">
        <f t="shared" si="0"/>
        <v>0.38</v>
      </c>
      <c r="T13" s="71"/>
    </row>
    <row r="14" spans="1:21" ht="18.75" customHeight="1" x14ac:dyDescent="0.15">
      <c r="A14" s="359"/>
      <c r="B14" s="75"/>
      <c r="C14" s="54"/>
      <c r="D14" s="55"/>
      <c r="E14" s="56"/>
      <c r="F14" s="57"/>
      <c r="G14" s="79"/>
      <c r="H14" s="83"/>
      <c r="I14" s="55"/>
      <c r="J14" s="57"/>
      <c r="K14" s="57"/>
      <c r="L14" s="57"/>
      <c r="M14" s="57"/>
      <c r="N14" s="87"/>
      <c r="O14" s="75"/>
      <c r="P14" s="58" t="s">
        <v>43</v>
      </c>
      <c r="Q14" s="55"/>
      <c r="R14" s="59">
        <v>0.05</v>
      </c>
      <c r="S14" s="56">
        <f t="shared" si="0"/>
        <v>0.04</v>
      </c>
      <c r="T14" s="71"/>
    </row>
    <row r="15" spans="1:21" ht="18.75" customHeight="1" x14ac:dyDescent="0.15">
      <c r="A15" s="359"/>
      <c r="B15" s="75"/>
      <c r="C15" s="54"/>
      <c r="D15" s="55"/>
      <c r="E15" s="56"/>
      <c r="F15" s="57"/>
      <c r="G15" s="79"/>
      <c r="H15" s="83"/>
      <c r="I15" s="55"/>
      <c r="J15" s="57"/>
      <c r="K15" s="57"/>
      <c r="L15" s="57"/>
      <c r="M15" s="57"/>
      <c r="N15" s="87"/>
      <c r="O15" s="75"/>
      <c r="P15" s="58" t="s">
        <v>22</v>
      </c>
      <c r="Q15" s="55"/>
      <c r="R15" s="59">
        <v>1</v>
      </c>
      <c r="S15" s="56">
        <f t="shared" si="0"/>
        <v>0.75</v>
      </c>
      <c r="T15" s="71"/>
    </row>
    <row r="16" spans="1:21" ht="18.75" customHeight="1" x14ac:dyDescent="0.15">
      <c r="A16" s="359"/>
      <c r="B16" s="74"/>
      <c r="C16" s="48"/>
      <c r="D16" s="49"/>
      <c r="E16" s="50"/>
      <c r="F16" s="51"/>
      <c r="G16" s="78"/>
      <c r="H16" s="82"/>
      <c r="I16" s="49"/>
      <c r="J16" s="51"/>
      <c r="K16" s="51"/>
      <c r="L16" s="51"/>
      <c r="M16" s="51"/>
      <c r="N16" s="86"/>
      <c r="O16" s="74"/>
      <c r="P16" s="52"/>
      <c r="Q16" s="49"/>
      <c r="R16" s="53"/>
      <c r="S16" s="50"/>
      <c r="T16" s="70"/>
    </row>
    <row r="17" spans="1:20" ht="18.75" customHeight="1" x14ac:dyDescent="0.15">
      <c r="A17" s="359"/>
      <c r="B17" s="75" t="s">
        <v>206</v>
      </c>
      <c r="C17" s="54" t="s">
        <v>58</v>
      </c>
      <c r="D17" s="55"/>
      <c r="E17" s="89">
        <v>0.16666666666666666</v>
      </c>
      <c r="F17" s="57" t="s">
        <v>59</v>
      </c>
      <c r="G17" s="79" t="s">
        <v>39</v>
      </c>
      <c r="H17" s="83" t="s">
        <v>58</v>
      </c>
      <c r="I17" s="55"/>
      <c r="J17" s="57">
        <f>ROUNDUP(E17*0.75,2)</f>
        <v>0.13</v>
      </c>
      <c r="K17" s="57" t="s">
        <v>59</v>
      </c>
      <c r="L17" s="57" t="s">
        <v>39</v>
      </c>
      <c r="M17" s="57"/>
      <c r="N17" s="87">
        <f>M17</f>
        <v>0</v>
      </c>
      <c r="O17" s="75" t="s">
        <v>207</v>
      </c>
      <c r="P17" s="58" t="s">
        <v>24</v>
      </c>
      <c r="Q17" s="55"/>
      <c r="R17" s="59">
        <v>1</v>
      </c>
      <c r="S17" s="56">
        <f>ROUNDUP(R17*0.75,2)</f>
        <v>0.75</v>
      </c>
      <c r="T17" s="71"/>
    </row>
    <row r="18" spans="1:20" ht="18.75" customHeight="1" x14ac:dyDescent="0.15">
      <c r="A18" s="359"/>
      <c r="B18" s="75"/>
      <c r="C18" s="54" t="s">
        <v>84</v>
      </c>
      <c r="D18" s="55"/>
      <c r="E18" s="56">
        <v>10</v>
      </c>
      <c r="F18" s="57" t="s">
        <v>29</v>
      </c>
      <c r="G18" s="79"/>
      <c r="H18" s="83" t="s">
        <v>84</v>
      </c>
      <c r="I18" s="55"/>
      <c r="J18" s="57">
        <f>ROUNDUP(E18*0.75,2)</f>
        <v>7.5</v>
      </c>
      <c r="K18" s="57" t="s">
        <v>29</v>
      </c>
      <c r="L18" s="57"/>
      <c r="M18" s="57"/>
      <c r="N18" s="87">
        <f>ROUND(M18+(M18*2/100),2)</f>
        <v>0</v>
      </c>
      <c r="O18" s="75" t="s">
        <v>208</v>
      </c>
      <c r="P18" s="58" t="s">
        <v>25</v>
      </c>
      <c r="Q18" s="55" t="s">
        <v>26</v>
      </c>
      <c r="R18" s="59">
        <v>0.5</v>
      </c>
      <c r="S18" s="56">
        <f>ROUNDUP(R18*0.75,2)</f>
        <v>0.38</v>
      </c>
      <c r="T18" s="71"/>
    </row>
    <row r="19" spans="1:20" ht="18.75" customHeight="1" x14ac:dyDescent="0.15">
      <c r="A19" s="359"/>
      <c r="B19" s="75"/>
      <c r="C19" s="54" t="s">
        <v>41</v>
      </c>
      <c r="D19" s="55"/>
      <c r="E19" s="56">
        <v>0.5</v>
      </c>
      <c r="F19" s="57" t="s">
        <v>29</v>
      </c>
      <c r="G19" s="79" t="s">
        <v>42</v>
      </c>
      <c r="H19" s="83" t="s">
        <v>41</v>
      </c>
      <c r="I19" s="55"/>
      <c r="J19" s="57">
        <f>ROUNDUP(E19*0.75,2)</f>
        <v>0.38</v>
      </c>
      <c r="K19" s="57" t="s">
        <v>29</v>
      </c>
      <c r="L19" s="57" t="s">
        <v>42</v>
      </c>
      <c r="M19" s="57"/>
      <c r="N19" s="87">
        <f>M19</f>
        <v>0</v>
      </c>
      <c r="O19" s="75" t="s">
        <v>209</v>
      </c>
      <c r="P19" s="58" t="s">
        <v>43</v>
      </c>
      <c r="Q19" s="55"/>
      <c r="R19" s="59">
        <v>0.1</v>
      </c>
      <c r="S19" s="56">
        <f>ROUNDUP(R19*0.75,2)</f>
        <v>0.08</v>
      </c>
      <c r="T19" s="71"/>
    </row>
    <row r="20" spans="1:20" ht="18.75" customHeight="1" x14ac:dyDescent="0.15">
      <c r="A20" s="359"/>
      <c r="B20" s="75"/>
      <c r="C20" s="54"/>
      <c r="D20" s="55"/>
      <c r="E20" s="56"/>
      <c r="F20" s="57"/>
      <c r="G20" s="79"/>
      <c r="H20" s="83"/>
      <c r="I20" s="55"/>
      <c r="J20" s="57"/>
      <c r="K20" s="57"/>
      <c r="L20" s="57"/>
      <c r="M20" s="57"/>
      <c r="N20" s="87"/>
      <c r="O20" s="75" t="s">
        <v>19</v>
      </c>
      <c r="P20" s="58" t="s">
        <v>57</v>
      </c>
      <c r="Q20" s="55"/>
      <c r="R20" s="59">
        <v>2</v>
      </c>
      <c r="S20" s="56">
        <f>ROUNDUP(R20*0.75,2)</f>
        <v>1.5</v>
      </c>
      <c r="T20" s="71"/>
    </row>
    <row r="21" spans="1:20" ht="18.75" customHeight="1" x14ac:dyDescent="0.15">
      <c r="A21" s="359"/>
      <c r="B21" s="75"/>
      <c r="C21" s="54"/>
      <c r="D21" s="55"/>
      <c r="E21" s="56"/>
      <c r="F21" s="57"/>
      <c r="G21" s="79"/>
      <c r="H21" s="83"/>
      <c r="I21" s="55"/>
      <c r="J21" s="57"/>
      <c r="K21" s="57"/>
      <c r="L21" s="57"/>
      <c r="M21" s="57"/>
      <c r="N21" s="87"/>
      <c r="O21" s="75"/>
      <c r="P21" s="58" t="s">
        <v>22</v>
      </c>
      <c r="Q21" s="55"/>
      <c r="R21" s="59">
        <v>2</v>
      </c>
      <c r="S21" s="56">
        <f>ROUNDUP(R21*0.75,2)</f>
        <v>1.5</v>
      </c>
      <c r="T21" s="71"/>
    </row>
    <row r="22" spans="1:20" ht="18.75" customHeight="1" x14ac:dyDescent="0.15">
      <c r="A22" s="359"/>
      <c r="B22" s="74"/>
      <c r="C22" s="48"/>
      <c r="D22" s="49"/>
      <c r="E22" s="50"/>
      <c r="F22" s="51"/>
      <c r="G22" s="78"/>
      <c r="H22" s="82"/>
      <c r="I22" s="49"/>
      <c r="J22" s="51"/>
      <c r="K22" s="51"/>
      <c r="L22" s="51"/>
      <c r="M22" s="51"/>
      <c r="N22" s="86"/>
      <c r="O22" s="74"/>
      <c r="P22" s="52"/>
      <c r="Q22" s="49"/>
      <c r="R22" s="53"/>
      <c r="S22" s="50"/>
      <c r="T22" s="70"/>
    </row>
    <row r="23" spans="1:20" ht="18.75" customHeight="1" x14ac:dyDescent="0.15">
      <c r="A23" s="359"/>
      <c r="B23" s="75" t="s">
        <v>210</v>
      </c>
      <c r="C23" s="54" t="s">
        <v>124</v>
      </c>
      <c r="D23" s="55"/>
      <c r="E23" s="56">
        <v>20</v>
      </c>
      <c r="F23" s="57" t="s">
        <v>29</v>
      </c>
      <c r="G23" s="79"/>
      <c r="H23" s="83" t="s">
        <v>124</v>
      </c>
      <c r="I23" s="55"/>
      <c r="J23" s="57">
        <f>ROUNDUP(E23*0.75,2)</f>
        <v>15</v>
      </c>
      <c r="K23" s="57" t="s">
        <v>29</v>
      </c>
      <c r="L23" s="57"/>
      <c r="M23" s="57"/>
      <c r="N23" s="87">
        <f>ROUND(M23+(M23*10/100),2)</f>
        <v>0</v>
      </c>
      <c r="O23" s="75" t="s">
        <v>19</v>
      </c>
      <c r="P23" s="58" t="s">
        <v>50</v>
      </c>
      <c r="Q23" s="55"/>
      <c r="R23" s="59">
        <v>100</v>
      </c>
      <c r="S23" s="56">
        <f>ROUNDUP(R23*0.75,2)</f>
        <v>75</v>
      </c>
      <c r="T23" s="71"/>
    </row>
    <row r="24" spans="1:20" ht="18.75" customHeight="1" x14ac:dyDescent="0.15">
      <c r="A24" s="359"/>
      <c r="B24" s="75"/>
      <c r="C24" s="54" t="s">
        <v>152</v>
      </c>
      <c r="D24" s="55"/>
      <c r="E24" s="56">
        <v>2</v>
      </c>
      <c r="F24" s="57" t="s">
        <v>29</v>
      </c>
      <c r="G24" s="79"/>
      <c r="H24" s="83" t="s">
        <v>152</v>
      </c>
      <c r="I24" s="55"/>
      <c r="J24" s="57">
        <f>ROUNDUP(E24*0.75,2)</f>
        <v>1.5</v>
      </c>
      <c r="K24" s="57" t="s">
        <v>29</v>
      </c>
      <c r="L24" s="57"/>
      <c r="M24" s="57"/>
      <c r="N24" s="87">
        <f>ROUND(M24+(M24*10/100),2)</f>
        <v>0</v>
      </c>
      <c r="O24" s="75"/>
      <c r="P24" s="58" t="s">
        <v>120</v>
      </c>
      <c r="Q24" s="55"/>
      <c r="R24" s="59">
        <v>0.5</v>
      </c>
      <c r="S24" s="56">
        <f>ROUNDUP(R24*0.75,2)</f>
        <v>0.38</v>
      </c>
      <c r="T24" s="71"/>
    </row>
    <row r="25" spans="1:20" ht="18.75" customHeight="1" x14ac:dyDescent="0.15">
      <c r="A25" s="359"/>
      <c r="B25" s="75"/>
      <c r="C25" s="54"/>
      <c r="D25" s="55"/>
      <c r="E25" s="56"/>
      <c r="F25" s="57"/>
      <c r="G25" s="79"/>
      <c r="H25" s="83"/>
      <c r="I25" s="55"/>
      <c r="J25" s="57"/>
      <c r="K25" s="57"/>
      <c r="L25" s="57"/>
      <c r="M25" s="57"/>
      <c r="N25" s="87"/>
      <c r="O25" s="75"/>
      <c r="P25" s="58" t="s">
        <v>43</v>
      </c>
      <c r="Q25" s="55"/>
      <c r="R25" s="59">
        <v>0.1</v>
      </c>
      <c r="S25" s="56">
        <f>ROUNDUP(R25*0.75,2)</f>
        <v>0.08</v>
      </c>
      <c r="T25" s="71" t="e">
        <f>ROUNDUP((#REF!*R25)+(#REF!*S25)+(#REF!*(R25*2)),2)</f>
        <v>#REF!</v>
      </c>
    </row>
    <row r="26" spans="1:20" ht="18.75" customHeight="1" x14ac:dyDescent="0.15">
      <c r="A26" s="359"/>
      <c r="B26" s="74"/>
      <c r="C26" s="48"/>
      <c r="D26" s="49"/>
      <c r="E26" s="50"/>
      <c r="F26" s="51"/>
      <c r="G26" s="78"/>
      <c r="H26" s="82"/>
      <c r="I26" s="49"/>
      <c r="J26" s="51"/>
      <c r="K26" s="51"/>
      <c r="L26" s="51"/>
      <c r="M26" s="51"/>
      <c r="N26" s="86"/>
      <c r="O26" s="74"/>
      <c r="P26" s="52"/>
      <c r="Q26" s="49"/>
      <c r="R26" s="53"/>
      <c r="S26" s="50"/>
      <c r="T26" s="70"/>
    </row>
    <row r="27" spans="1:20" ht="18.75" customHeight="1" x14ac:dyDescent="0.15">
      <c r="A27" s="359"/>
      <c r="B27" s="75" t="s">
        <v>169</v>
      </c>
      <c r="C27" s="54" t="s">
        <v>170</v>
      </c>
      <c r="D27" s="55"/>
      <c r="E27" s="67">
        <v>0.25</v>
      </c>
      <c r="F27" s="57" t="s">
        <v>166</v>
      </c>
      <c r="G27" s="79"/>
      <c r="H27" s="83" t="s">
        <v>170</v>
      </c>
      <c r="I27" s="55"/>
      <c r="J27" s="57">
        <f>ROUNDUP(E27*0.75,2)</f>
        <v>0.19</v>
      </c>
      <c r="K27" s="57" t="s">
        <v>166</v>
      </c>
      <c r="L27" s="57"/>
      <c r="M27" s="57"/>
      <c r="N27" s="87">
        <f>M27</f>
        <v>0</v>
      </c>
      <c r="O27" s="75" t="s">
        <v>92</v>
      </c>
      <c r="P27" s="58"/>
      <c r="Q27" s="55"/>
      <c r="R27" s="59"/>
      <c r="S27" s="56"/>
      <c r="T27" s="71"/>
    </row>
    <row r="28" spans="1:20" ht="18.75" customHeight="1" thickBot="1" x14ac:dyDescent="0.2">
      <c r="A28" s="360"/>
      <c r="B28" s="76"/>
      <c r="C28" s="61"/>
      <c r="D28" s="62"/>
      <c r="E28" s="63"/>
      <c r="F28" s="64"/>
      <c r="G28" s="80"/>
      <c r="H28" s="84"/>
      <c r="I28" s="62"/>
      <c r="J28" s="64"/>
      <c r="K28" s="64"/>
      <c r="L28" s="64"/>
      <c r="M28" s="64"/>
      <c r="N28" s="88"/>
      <c r="O28" s="76"/>
      <c r="P28" s="65"/>
      <c r="Q28" s="62"/>
      <c r="R28" s="66"/>
      <c r="S28" s="63"/>
      <c r="T28" s="72"/>
    </row>
  </sheetData>
  <mergeCells count="4">
    <mergeCell ref="H1:O1"/>
    <mergeCell ref="A2:T2"/>
    <mergeCell ref="A3:F3"/>
    <mergeCell ref="A5:A28"/>
  </mergeCells>
  <phoneticPr fontId="17"/>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200</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364</v>
      </c>
      <c r="C9" s="96" t="s">
        <v>184</v>
      </c>
      <c r="D9" s="96" t="s">
        <v>55</v>
      </c>
      <c r="E9" s="55"/>
      <c r="F9" s="121"/>
      <c r="G9" s="136"/>
      <c r="H9" s="115">
        <v>20</v>
      </c>
      <c r="I9" s="127" t="s">
        <v>363</v>
      </c>
      <c r="J9" s="98" t="s">
        <v>122</v>
      </c>
      <c r="K9" s="141">
        <v>10</v>
      </c>
      <c r="L9" s="136" t="s">
        <v>362</v>
      </c>
      <c r="M9" s="96" t="s">
        <v>60</v>
      </c>
      <c r="N9" s="115">
        <v>10</v>
      </c>
      <c r="O9" s="111" t="s">
        <v>31</v>
      </c>
    </row>
    <row r="10" spans="1:21" ht="20.100000000000001" customHeight="1" x14ac:dyDescent="0.15">
      <c r="A10" s="379"/>
      <c r="B10" s="96"/>
      <c r="C10" s="96" t="s">
        <v>60</v>
      </c>
      <c r="D10" s="96" t="s">
        <v>31</v>
      </c>
      <c r="E10" s="55"/>
      <c r="F10" s="121"/>
      <c r="G10" s="136"/>
      <c r="H10" s="115">
        <v>20</v>
      </c>
      <c r="I10" s="127"/>
      <c r="J10" s="96" t="s">
        <v>60</v>
      </c>
      <c r="K10" s="141">
        <v>20</v>
      </c>
      <c r="L10" s="136"/>
      <c r="M10" s="96" t="s">
        <v>61</v>
      </c>
      <c r="N10" s="115">
        <v>5</v>
      </c>
      <c r="O10" s="111"/>
    </row>
    <row r="11" spans="1:21" ht="20.100000000000001" customHeight="1" x14ac:dyDescent="0.15">
      <c r="A11" s="379"/>
      <c r="B11" s="96"/>
      <c r="C11" s="96" t="s">
        <v>61</v>
      </c>
      <c r="D11" s="96"/>
      <c r="E11" s="55"/>
      <c r="F11" s="121"/>
      <c r="G11" s="136"/>
      <c r="H11" s="115">
        <v>10</v>
      </c>
      <c r="I11" s="127"/>
      <c r="J11" s="96" t="s">
        <v>61</v>
      </c>
      <c r="K11" s="141">
        <v>5</v>
      </c>
      <c r="L11" s="135"/>
      <c r="M11" s="97"/>
      <c r="N11" s="114"/>
      <c r="O11" s="110"/>
    </row>
    <row r="12" spans="1:21" ht="20.100000000000001" customHeight="1" x14ac:dyDescent="0.15">
      <c r="A12" s="379"/>
      <c r="B12" s="96"/>
      <c r="C12" s="96" t="s">
        <v>35</v>
      </c>
      <c r="D12" s="96"/>
      <c r="E12" s="55" t="s">
        <v>36</v>
      </c>
      <c r="F12" s="121"/>
      <c r="G12" s="136"/>
      <c r="H12" s="144">
        <v>0.13</v>
      </c>
      <c r="I12" s="127"/>
      <c r="J12" s="96" t="s">
        <v>296</v>
      </c>
      <c r="K12" s="143">
        <v>0.13</v>
      </c>
      <c r="L12" s="136" t="s">
        <v>361</v>
      </c>
      <c r="M12" s="96" t="s">
        <v>58</v>
      </c>
      <c r="N12" s="116">
        <v>0.1</v>
      </c>
      <c r="O12" s="111" t="s">
        <v>39</v>
      </c>
    </row>
    <row r="13" spans="1:21" ht="20.100000000000001" customHeight="1" x14ac:dyDescent="0.15">
      <c r="A13" s="379"/>
      <c r="B13" s="96"/>
      <c r="C13" s="96"/>
      <c r="D13" s="96"/>
      <c r="E13" s="55"/>
      <c r="F13" s="121"/>
      <c r="G13" s="136" t="s">
        <v>23</v>
      </c>
      <c r="H13" s="115" t="s">
        <v>292</v>
      </c>
      <c r="I13" s="127"/>
      <c r="J13" s="96"/>
      <c r="K13" s="141"/>
      <c r="L13" s="136"/>
      <c r="M13" s="96" t="s">
        <v>124</v>
      </c>
      <c r="N13" s="115">
        <v>10</v>
      </c>
      <c r="O13" s="111"/>
    </row>
    <row r="14" spans="1:21" ht="20.100000000000001" customHeight="1" x14ac:dyDescent="0.15">
      <c r="A14" s="379"/>
      <c r="B14" s="96"/>
      <c r="C14" s="96"/>
      <c r="D14" s="96"/>
      <c r="E14" s="55"/>
      <c r="F14" s="121"/>
      <c r="G14" s="136" t="s">
        <v>24</v>
      </c>
      <c r="H14" s="115" t="s">
        <v>294</v>
      </c>
      <c r="I14" s="127"/>
      <c r="J14" s="96"/>
      <c r="K14" s="141"/>
      <c r="L14" s="135"/>
      <c r="M14" s="97"/>
      <c r="N14" s="114"/>
      <c r="O14" s="110"/>
    </row>
    <row r="15" spans="1:21" ht="20.100000000000001" customHeight="1" x14ac:dyDescent="0.15">
      <c r="A15" s="379"/>
      <c r="B15" s="96"/>
      <c r="C15" s="96"/>
      <c r="D15" s="96"/>
      <c r="E15" s="55"/>
      <c r="F15" s="121" t="s">
        <v>26</v>
      </c>
      <c r="G15" s="136" t="s">
        <v>25</v>
      </c>
      <c r="H15" s="115" t="s">
        <v>294</v>
      </c>
      <c r="I15" s="127"/>
      <c r="J15" s="96"/>
      <c r="K15" s="141"/>
      <c r="L15" s="136" t="s">
        <v>360</v>
      </c>
      <c r="M15" s="96" t="s">
        <v>170</v>
      </c>
      <c r="N15" s="144">
        <v>0.13</v>
      </c>
      <c r="O15" s="111"/>
    </row>
    <row r="16" spans="1:21" ht="20.100000000000001" customHeight="1" x14ac:dyDescent="0.15">
      <c r="A16" s="379"/>
      <c r="B16" s="97"/>
      <c r="C16" s="97"/>
      <c r="D16" s="97"/>
      <c r="E16" s="49"/>
      <c r="F16" s="120"/>
      <c r="G16" s="135"/>
      <c r="H16" s="114"/>
      <c r="I16" s="126"/>
      <c r="J16" s="97"/>
      <c r="K16" s="139"/>
      <c r="L16" s="136"/>
      <c r="M16" s="96"/>
      <c r="N16" s="115"/>
      <c r="O16" s="111"/>
    </row>
    <row r="17" spans="1:15" ht="20.100000000000001" customHeight="1" x14ac:dyDescent="0.15">
      <c r="A17" s="379"/>
      <c r="B17" s="96" t="s">
        <v>332</v>
      </c>
      <c r="C17" s="96" t="s">
        <v>58</v>
      </c>
      <c r="D17" s="96" t="s">
        <v>39</v>
      </c>
      <c r="E17" s="55"/>
      <c r="F17" s="121"/>
      <c r="G17" s="136"/>
      <c r="H17" s="116">
        <v>0.1</v>
      </c>
      <c r="I17" s="127" t="s">
        <v>332</v>
      </c>
      <c r="J17" s="96" t="s">
        <v>58</v>
      </c>
      <c r="K17" s="140">
        <v>0.1</v>
      </c>
      <c r="L17" s="136"/>
      <c r="M17" s="96"/>
      <c r="N17" s="115"/>
      <c r="O17" s="111"/>
    </row>
    <row r="18" spans="1:15" ht="20.100000000000001" customHeight="1" x14ac:dyDescent="0.15">
      <c r="A18" s="379"/>
      <c r="B18" s="96"/>
      <c r="C18" s="96" t="s">
        <v>84</v>
      </c>
      <c r="D18" s="96"/>
      <c r="E18" s="55"/>
      <c r="F18" s="121"/>
      <c r="G18" s="136"/>
      <c r="H18" s="115">
        <v>10</v>
      </c>
      <c r="I18" s="127"/>
      <c r="J18" s="96" t="s">
        <v>84</v>
      </c>
      <c r="K18" s="141">
        <v>5</v>
      </c>
      <c r="L18" s="136"/>
      <c r="M18" s="96"/>
      <c r="N18" s="115"/>
      <c r="O18" s="111"/>
    </row>
    <row r="19" spans="1:15" ht="20.100000000000001" customHeight="1" x14ac:dyDescent="0.15">
      <c r="A19" s="379"/>
      <c r="B19" s="96"/>
      <c r="C19" s="96" t="s">
        <v>41</v>
      </c>
      <c r="D19" s="96" t="s">
        <v>42</v>
      </c>
      <c r="E19" s="55"/>
      <c r="F19" s="122"/>
      <c r="G19" s="136"/>
      <c r="H19" s="115">
        <v>0.5</v>
      </c>
      <c r="I19" s="127"/>
      <c r="J19" s="96" t="s">
        <v>41</v>
      </c>
      <c r="K19" s="141">
        <v>0.5</v>
      </c>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87</v>
      </c>
      <c r="C21" s="96" t="s">
        <v>124</v>
      </c>
      <c r="D21" s="96"/>
      <c r="E21" s="55"/>
      <c r="F21" s="121"/>
      <c r="G21" s="136"/>
      <c r="H21" s="115">
        <v>10</v>
      </c>
      <c r="I21" s="127" t="s">
        <v>87</v>
      </c>
      <c r="J21" s="96" t="s">
        <v>124</v>
      </c>
      <c r="K21" s="141">
        <v>10</v>
      </c>
      <c r="L21" s="136"/>
      <c r="M21" s="96"/>
      <c r="N21" s="115"/>
      <c r="O21" s="111"/>
    </row>
    <row r="22" spans="1:15" ht="20.100000000000001" customHeight="1" x14ac:dyDescent="0.15">
      <c r="A22" s="379"/>
      <c r="B22" s="96"/>
      <c r="C22" s="96"/>
      <c r="D22" s="96"/>
      <c r="E22" s="55"/>
      <c r="F22" s="121"/>
      <c r="G22" s="136" t="s">
        <v>50</v>
      </c>
      <c r="H22" s="115" t="s">
        <v>292</v>
      </c>
      <c r="I22" s="127"/>
      <c r="J22" s="96"/>
      <c r="K22" s="141"/>
      <c r="L22" s="136"/>
      <c r="M22" s="96"/>
      <c r="N22" s="115"/>
      <c r="O22" s="111"/>
    </row>
    <row r="23" spans="1:15" ht="20.100000000000001" customHeight="1" x14ac:dyDescent="0.15">
      <c r="A23" s="379"/>
      <c r="B23" s="97"/>
      <c r="C23" s="97"/>
      <c r="D23" s="97"/>
      <c r="E23" s="49"/>
      <c r="F23" s="120"/>
      <c r="G23" s="135"/>
      <c r="H23" s="114"/>
      <c r="I23" s="126"/>
      <c r="J23" s="97"/>
      <c r="K23" s="139"/>
      <c r="L23" s="136"/>
      <c r="M23" s="96"/>
      <c r="N23" s="115"/>
      <c r="O23" s="111"/>
    </row>
    <row r="24" spans="1:15" ht="20.100000000000001" customHeight="1" x14ac:dyDescent="0.15">
      <c r="A24" s="379"/>
      <c r="B24" s="96" t="s">
        <v>169</v>
      </c>
      <c r="C24" s="96" t="s">
        <v>170</v>
      </c>
      <c r="D24" s="96"/>
      <c r="E24" s="55"/>
      <c r="F24" s="121"/>
      <c r="G24" s="136"/>
      <c r="H24" s="148">
        <v>0.17</v>
      </c>
      <c r="I24" s="127" t="s">
        <v>169</v>
      </c>
      <c r="J24" s="96" t="s">
        <v>170</v>
      </c>
      <c r="K24" s="149">
        <v>0.17</v>
      </c>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212</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t="e">
        <f>ROUNDUP((#REF!*R5)+(#REF!*S5)+(#REF!*(R5*2)),2)</f>
        <v>#REF!</v>
      </c>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213</v>
      </c>
      <c r="C7" s="54" t="s">
        <v>156</v>
      </c>
      <c r="D7" s="55"/>
      <c r="E7" s="56">
        <v>1</v>
      </c>
      <c r="F7" s="57" t="s">
        <v>20</v>
      </c>
      <c r="G7" s="79" t="s">
        <v>157</v>
      </c>
      <c r="H7" s="83" t="s">
        <v>156</v>
      </c>
      <c r="I7" s="55"/>
      <c r="J7" s="57">
        <f>ROUNDUP(E7*0.75,2)</f>
        <v>0.75</v>
      </c>
      <c r="K7" s="57" t="s">
        <v>20</v>
      </c>
      <c r="L7" s="57" t="s">
        <v>157</v>
      </c>
      <c r="M7" s="57"/>
      <c r="N7" s="87">
        <f>M7</f>
        <v>0</v>
      </c>
      <c r="O7" s="75" t="s">
        <v>214</v>
      </c>
      <c r="P7" s="58" t="s">
        <v>37</v>
      </c>
      <c r="Q7" s="55"/>
      <c r="R7" s="59">
        <v>0.5</v>
      </c>
      <c r="S7" s="56">
        <f>ROUNDUP(R7*0.75,2)</f>
        <v>0.38</v>
      </c>
      <c r="T7" s="71" t="e">
        <f>ROUNDUP((#REF!*R7)+(#REF!*S7)+(#REF!*(R7*2)),2)</f>
        <v>#REF!</v>
      </c>
    </row>
    <row r="8" spans="1:21" ht="18.75" customHeight="1" x14ac:dyDescent="0.15">
      <c r="A8" s="359"/>
      <c r="B8" s="75"/>
      <c r="C8" s="54" t="s">
        <v>109</v>
      </c>
      <c r="D8" s="55"/>
      <c r="E8" s="56">
        <v>0.5</v>
      </c>
      <c r="F8" s="57" t="s">
        <v>29</v>
      </c>
      <c r="G8" s="79"/>
      <c r="H8" s="83" t="s">
        <v>109</v>
      </c>
      <c r="I8" s="55"/>
      <c r="J8" s="57">
        <f>ROUNDUP(E8*0.75,2)</f>
        <v>0.38</v>
      </c>
      <c r="K8" s="57" t="s">
        <v>29</v>
      </c>
      <c r="L8" s="57"/>
      <c r="M8" s="57"/>
      <c r="N8" s="87">
        <f>ROUND(M8+(M8*20/100),2)</f>
        <v>0</v>
      </c>
      <c r="O8" s="75" t="s">
        <v>215</v>
      </c>
      <c r="P8" s="58" t="s">
        <v>23</v>
      </c>
      <c r="Q8" s="55"/>
      <c r="R8" s="59">
        <v>30</v>
      </c>
      <c r="S8" s="56">
        <f>ROUNDUP(R8*0.75,2)</f>
        <v>22.5</v>
      </c>
      <c r="T8" s="71" t="e">
        <f>ROUNDUP((#REF!*R8)+(#REF!*S8)+(#REF!*(R8*2)),2)</f>
        <v>#REF!</v>
      </c>
    </row>
    <row r="9" spans="1:21" ht="18.75" customHeight="1" x14ac:dyDescent="0.15">
      <c r="A9" s="359"/>
      <c r="B9" s="75"/>
      <c r="C9" s="54" t="s">
        <v>61</v>
      </c>
      <c r="D9" s="55"/>
      <c r="E9" s="56">
        <v>10</v>
      </c>
      <c r="F9" s="57" t="s">
        <v>29</v>
      </c>
      <c r="G9" s="79"/>
      <c r="H9" s="83" t="s">
        <v>61</v>
      </c>
      <c r="I9" s="55"/>
      <c r="J9" s="57">
        <f>ROUNDUP(E9*0.75,2)</f>
        <v>7.5</v>
      </c>
      <c r="K9" s="57" t="s">
        <v>29</v>
      </c>
      <c r="L9" s="57"/>
      <c r="M9" s="57"/>
      <c r="N9" s="87">
        <f>ROUND(M9+(M9*3/100),2)</f>
        <v>0</v>
      </c>
      <c r="O9" s="75" t="s">
        <v>216</v>
      </c>
      <c r="P9" s="58" t="s">
        <v>25</v>
      </c>
      <c r="Q9" s="55" t="s">
        <v>26</v>
      </c>
      <c r="R9" s="59">
        <v>2</v>
      </c>
      <c r="S9" s="56">
        <f>ROUNDUP(R9*0.75,2)</f>
        <v>1.5</v>
      </c>
      <c r="T9" s="71" t="e">
        <f>ROUNDUP((#REF!*R9)+(#REF!*S9)+(#REF!*(R9*2)),2)</f>
        <v>#REF!</v>
      </c>
    </row>
    <row r="10" spans="1:21" ht="18.75" customHeight="1" x14ac:dyDescent="0.15">
      <c r="A10" s="359"/>
      <c r="B10" s="75"/>
      <c r="C10" s="54" t="s">
        <v>88</v>
      </c>
      <c r="D10" s="55"/>
      <c r="E10" s="56">
        <v>20</v>
      </c>
      <c r="F10" s="57" t="s">
        <v>29</v>
      </c>
      <c r="G10" s="79" t="s">
        <v>31</v>
      </c>
      <c r="H10" s="83" t="s">
        <v>88</v>
      </c>
      <c r="I10" s="55"/>
      <c r="J10" s="57">
        <f>ROUNDUP(E10*0.75,2)</f>
        <v>15</v>
      </c>
      <c r="K10" s="57" t="s">
        <v>29</v>
      </c>
      <c r="L10" s="57" t="s">
        <v>31</v>
      </c>
      <c r="M10" s="57"/>
      <c r="N10" s="87">
        <f>M10</f>
        <v>0</v>
      </c>
      <c r="O10" s="75" t="s">
        <v>19</v>
      </c>
      <c r="P10" s="58" t="s">
        <v>37</v>
      </c>
      <c r="Q10" s="55"/>
      <c r="R10" s="59">
        <v>1.5</v>
      </c>
      <c r="S10" s="56">
        <f>ROUNDUP(R10*0.75,2)</f>
        <v>1.1300000000000001</v>
      </c>
      <c r="T10" s="71" t="e">
        <f>ROUNDUP((#REF!*R10)+(#REF!*S10)+(#REF!*(R10*2)),2)</f>
        <v>#REF!</v>
      </c>
    </row>
    <row r="11" spans="1:21" ht="18.75" customHeight="1" x14ac:dyDescent="0.15">
      <c r="A11" s="359"/>
      <c r="B11" s="75"/>
      <c r="C11" s="54"/>
      <c r="D11" s="55"/>
      <c r="E11" s="56"/>
      <c r="F11" s="57"/>
      <c r="G11" s="79"/>
      <c r="H11" s="83"/>
      <c r="I11" s="55"/>
      <c r="J11" s="57"/>
      <c r="K11" s="57"/>
      <c r="L11" s="57"/>
      <c r="M11" s="57"/>
      <c r="N11" s="87"/>
      <c r="O11" s="75"/>
      <c r="P11" s="58" t="s">
        <v>24</v>
      </c>
      <c r="Q11" s="55"/>
      <c r="R11" s="59">
        <v>3</v>
      </c>
      <c r="S11" s="56">
        <f>ROUNDUP(R11*0.75,2)</f>
        <v>2.25</v>
      </c>
      <c r="T11" s="71" t="e">
        <f>ROUNDUP((#REF!*R11)+(#REF!*S11)+(#REF!*(R11*2)),2)</f>
        <v>#REF!</v>
      </c>
    </row>
    <row r="12" spans="1:21" ht="18.75" customHeight="1" x14ac:dyDescent="0.15">
      <c r="A12" s="359"/>
      <c r="B12" s="74"/>
      <c r="C12" s="48"/>
      <c r="D12" s="49"/>
      <c r="E12" s="50"/>
      <c r="F12" s="51"/>
      <c r="G12" s="78"/>
      <c r="H12" s="82"/>
      <c r="I12" s="49"/>
      <c r="J12" s="51"/>
      <c r="K12" s="51"/>
      <c r="L12" s="51"/>
      <c r="M12" s="51"/>
      <c r="N12" s="86"/>
      <c r="O12" s="74"/>
      <c r="P12" s="52"/>
      <c r="Q12" s="49"/>
      <c r="R12" s="53"/>
      <c r="S12" s="50"/>
      <c r="T12" s="70"/>
    </row>
    <row r="13" spans="1:21" ht="18.75" customHeight="1" x14ac:dyDescent="0.15">
      <c r="A13" s="359"/>
      <c r="B13" s="75" t="s">
        <v>217</v>
      </c>
      <c r="C13" s="54" t="s">
        <v>75</v>
      </c>
      <c r="D13" s="55"/>
      <c r="E13" s="56">
        <v>20</v>
      </c>
      <c r="F13" s="57" t="s">
        <v>29</v>
      </c>
      <c r="G13" s="79" t="s">
        <v>55</v>
      </c>
      <c r="H13" s="83" t="s">
        <v>75</v>
      </c>
      <c r="I13" s="55"/>
      <c r="J13" s="57">
        <f>ROUNDUP(E13*0.75,2)</f>
        <v>15</v>
      </c>
      <c r="K13" s="57" t="s">
        <v>29</v>
      </c>
      <c r="L13" s="57" t="s">
        <v>55</v>
      </c>
      <c r="M13" s="57"/>
      <c r="N13" s="87">
        <f>M13</f>
        <v>0</v>
      </c>
      <c r="O13" s="75" t="s">
        <v>218</v>
      </c>
      <c r="P13" s="58" t="s">
        <v>76</v>
      </c>
      <c r="Q13" s="55" t="s">
        <v>49</v>
      </c>
      <c r="R13" s="59">
        <v>2</v>
      </c>
      <c r="S13" s="56">
        <f>ROUNDUP(R13*0.75,2)</f>
        <v>1.5</v>
      </c>
      <c r="T13" s="71" t="e">
        <f>ROUNDUP((#REF!*R13)+(#REF!*S13)+(#REF!*(R13*2)),2)</f>
        <v>#REF!</v>
      </c>
    </row>
    <row r="14" spans="1:21" ht="18.75" customHeight="1" x14ac:dyDescent="0.15">
      <c r="A14" s="359"/>
      <c r="B14" s="75"/>
      <c r="C14" s="54" t="s">
        <v>28</v>
      </c>
      <c r="D14" s="55"/>
      <c r="E14" s="56">
        <v>20</v>
      </c>
      <c r="F14" s="57" t="s">
        <v>29</v>
      </c>
      <c r="G14" s="79"/>
      <c r="H14" s="83" t="s">
        <v>28</v>
      </c>
      <c r="I14" s="55"/>
      <c r="J14" s="57">
        <f>ROUNDUP(E14*0.75,2)</f>
        <v>15</v>
      </c>
      <c r="K14" s="57" t="s">
        <v>29</v>
      </c>
      <c r="L14" s="57"/>
      <c r="M14" s="57"/>
      <c r="N14" s="87">
        <f>ROUND(M14+(M14*10/100),2)</f>
        <v>0</v>
      </c>
      <c r="O14" s="75" t="s">
        <v>219</v>
      </c>
      <c r="P14" s="58" t="s">
        <v>22</v>
      </c>
      <c r="Q14" s="55"/>
      <c r="R14" s="59">
        <v>1.5</v>
      </c>
      <c r="S14" s="56">
        <f>ROUNDUP(R14*0.75,2)</f>
        <v>1.1300000000000001</v>
      </c>
      <c r="T14" s="71" t="e">
        <f>ROUNDUP((#REF!*R14)+(#REF!*S14)+(#REF!*(R14*2)),2)</f>
        <v>#REF!</v>
      </c>
    </row>
    <row r="15" spans="1:21" ht="18.75" customHeight="1" x14ac:dyDescent="0.15">
      <c r="A15" s="359"/>
      <c r="B15" s="75"/>
      <c r="C15" s="54" t="s">
        <v>136</v>
      </c>
      <c r="D15" s="55"/>
      <c r="E15" s="56">
        <v>5</v>
      </c>
      <c r="F15" s="57" t="s">
        <v>29</v>
      </c>
      <c r="G15" s="79"/>
      <c r="H15" s="83" t="s">
        <v>136</v>
      </c>
      <c r="I15" s="55"/>
      <c r="J15" s="57">
        <f>ROUNDUP(E15*0.75,2)</f>
        <v>3.75</v>
      </c>
      <c r="K15" s="57" t="s">
        <v>29</v>
      </c>
      <c r="L15" s="57"/>
      <c r="M15" s="57"/>
      <c r="N15" s="87">
        <f>ROUND(M15+(M15*15/100),2)</f>
        <v>0</v>
      </c>
      <c r="O15" s="75" t="s">
        <v>220</v>
      </c>
      <c r="P15" s="58" t="s">
        <v>43</v>
      </c>
      <c r="Q15" s="55"/>
      <c r="R15" s="59">
        <v>0.1</v>
      </c>
      <c r="S15" s="56">
        <f>ROUNDUP(R15*0.75,2)</f>
        <v>0.08</v>
      </c>
      <c r="T15" s="71" t="e">
        <f>ROUNDUP((#REF!*R15)+(#REF!*S15)+(#REF!*(R15*2)),2)</f>
        <v>#REF!</v>
      </c>
    </row>
    <row r="16" spans="1:21" ht="18.75" customHeight="1" x14ac:dyDescent="0.15">
      <c r="A16" s="359"/>
      <c r="B16" s="75"/>
      <c r="C16" s="54"/>
      <c r="D16" s="55"/>
      <c r="E16" s="56"/>
      <c r="F16" s="57"/>
      <c r="G16" s="79"/>
      <c r="H16" s="83"/>
      <c r="I16" s="55"/>
      <c r="J16" s="57"/>
      <c r="K16" s="57"/>
      <c r="L16" s="57"/>
      <c r="M16" s="57"/>
      <c r="N16" s="87"/>
      <c r="O16" s="75" t="s">
        <v>19</v>
      </c>
      <c r="P16" s="58" t="s">
        <v>78</v>
      </c>
      <c r="Q16" s="55"/>
      <c r="R16" s="59">
        <v>0.01</v>
      </c>
      <c r="S16" s="56">
        <f>ROUNDUP(R16*0.75,2)</f>
        <v>0.01</v>
      </c>
      <c r="T16" s="71" t="e">
        <f>ROUNDUP((#REF!*R16)+(#REF!*S16)+(#REF!*(R16*2)),2)</f>
        <v>#REF!</v>
      </c>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63</v>
      </c>
      <c r="C18" s="54" t="s">
        <v>144</v>
      </c>
      <c r="D18" s="55"/>
      <c r="E18" s="56">
        <v>20</v>
      </c>
      <c r="F18" s="57" t="s">
        <v>29</v>
      </c>
      <c r="G18" s="79"/>
      <c r="H18" s="83" t="s">
        <v>144</v>
      </c>
      <c r="I18" s="55"/>
      <c r="J18" s="57">
        <f>ROUNDUP(E18*0.75,2)</f>
        <v>15</v>
      </c>
      <c r="K18" s="57" t="s">
        <v>29</v>
      </c>
      <c r="L18" s="57"/>
      <c r="M18" s="57"/>
      <c r="N18" s="87">
        <f>ROUND(M18+(M18*6/100),2)</f>
        <v>0</v>
      </c>
      <c r="O18" s="75" t="s">
        <v>19</v>
      </c>
      <c r="P18" s="58" t="s">
        <v>23</v>
      </c>
      <c r="Q18" s="55"/>
      <c r="R18" s="59">
        <v>100</v>
      </c>
      <c r="S18" s="56">
        <f>ROUNDUP(R18*0.75,2)</f>
        <v>75</v>
      </c>
      <c r="T18" s="71" t="e">
        <f>ROUNDUP((#REF!*R18)+(#REF!*S18)+(#REF!*(R18*2)),2)</f>
        <v>#REF!</v>
      </c>
    </row>
    <row r="19" spans="1:20" ht="18.75" customHeight="1" x14ac:dyDescent="0.15">
      <c r="A19" s="359"/>
      <c r="B19" s="75"/>
      <c r="C19" s="54" t="s">
        <v>110</v>
      </c>
      <c r="D19" s="55"/>
      <c r="E19" s="56">
        <v>3</v>
      </c>
      <c r="F19" s="57" t="s">
        <v>29</v>
      </c>
      <c r="G19" s="79"/>
      <c r="H19" s="83" t="s">
        <v>110</v>
      </c>
      <c r="I19" s="55"/>
      <c r="J19" s="57">
        <f>ROUNDUP(E19*0.75,2)</f>
        <v>2.25</v>
      </c>
      <c r="K19" s="57" t="s">
        <v>29</v>
      </c>
      <c r="L19" s="57"/>
      <c r="M19" s="57"/>
      <c r="N19" s="87">
        <f>ROUND(M19+(M19*40/100),2)</f>
        <v>0</v>
      </c>
      <c r="O19" s="75"/>
      <c r="P19" s="58" t="s">
        <v>66</v>
      </c>
      <c r="Q19" s="55"/>
      <c r="R19" s="59">
        <v>3</v>
      </c>
      <c r="S19" s="56">
        <f>ROUNDUP(R19*0.75,2)</f>
        <v>2.25</v>
      </c>
      <c r="T19" s="71" t="e">
        <f>ROUNDUP((#REF!*R19)+(#REF!*S19)+(#REF!*(R19*2)),2)</f>
        <v>#REF!</v>
      </c>
    </row>
    <row r="20" spans="1:20" ht="18.75" customHeight="1" x14ac:dyDescent="0.15">
      <c r="A20" s="359"/>
      <c r="B20" s="74"/>
      <c r="C20" s="48"/>
      <c r="D20" s="49"/>
      <c r="E20" s="50"/>
      <c r="F20" s="51"/>
      <c r="G20" s="78"/>
      <c r="H20" s="82"/>
      <c r="I20" s="49"/>
      <c r="J20" s="51"/>
      <c r="K20" s="51"/>
      <c r="L20" s="51"/>
      <c r="M20" s="51"/>
      <c r="N20" s="86"/>
      <c r="O20" s="74"/>
      <c r="P20" s="52"/>
      <c r="Q20" s="49"/>
      <c r="R20" s="53"/>
      <c r="S20" s="50"/>
      <c r="T20" s="70"/>
    </row>
    <row r="21" spans="1:20" ht="18.75" customHeight="1" x14ac:dyDescent="0.15">
      <c r="A21" s="359"/>
      <c r="B21" s="75" t="s">
        <v>91</v>
      </c>
      <c r="C21" s="54" t="s">
        <v>93</v>
      </c>
      <c r="D21" s="55"/>
      <c r="E21" s="89">
        <v>0.16666666666666666</v>
      </c>
      <c r="F21" s="57" t="s">
        <v>32</v>
      </c>
      <c r="G21" s="79"/>
      <c r="H21" s="83" t="s">
        <v>93</v>
      </c>
      <c r="I21" s="55"/>
      <c r="J21" s="57">
        <f>ROUNDUP(E21*0.75,2)</f>
        <v>0.13</v>
      </c>
      <c r="K21" s="57" t="s">
        <v>32</v>
      </c>
      <c r="L21" s="57"/>
      <c r="M21" s="57"/>
      <c r="N21" s="87">
        <f>M21</f>
        <v>0</v>
      </c>
      <c r="O21" s="75" t="s">
        <v>92</v>
      </c>
      <c r="P21" s="58"/>
      <c r="Q21" s="55"/>
      <c r="R21" s="59"/>
      <c r="S21" s="56"/>
      <c r="T21" s="71"/>
    </row>
    <row r="22" spans="1:20" ht="18.75" customHeight="1" thickBot="1" x14ac:dyDescent="0.2">
      <c r="A22" s="360"/>
      <c r="B22" s="76"/>
      <c r="C22" s="61"/>
      <c r="D22" s="62"/>
      <c r="E22" s="63"/>
      <c r="F22" s="64"/>
      <c r="G22" s="80"/>
      <c r="H22" s="84"/>
      <c r="I22" s="62"/>
      <c r="J22" s="64"/>
      <c r="K22" s="64"/>
      <c r="L22" s="64"/>
      <c r="M22" s="64"/>
      <c r="N22" s="88"/>
      <c r="O22" s="76"/>
      <c r="P22" s="65"/>
      <c r="Q22" s="62"/>
      <c r="R22" s="66"/>
      <c r="S22" s="63"/>
      <c r="T22" s="72"/>
    </row>
  </sheetData>
  <mergeCells count="4">
    <mergeCell ref="H1:O1"/>
    <mergeCell ref="A2:T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zoomScale="40" zoomScaleNormal="40" zoomScaleSheetLayoutView="100" workbookViewId="0">
      <selection activeCell="E51" sqref="E51"/>
    </sheetView>
  </sheetViews>
  <sheetFormatPr defaultColWidth="9" defaultRowHeight="13.5" x14ac:dyDescent="0.15"/>
  <cols>
    <col min="1" max="1" width="4.5" style="150" bestFit="1" customWidth="1"/>
    <col min="2" max="2" width="3.375" style="151" bestFit="1" customWidth="1"/>
    <col min="3" max="8" width="17.625" style="151" customWidth="1"/>
    <col min="9" max="9" width="4.5" style="150" bestFit="1" customWidth="1"/>
    <col min="10" max="10" width="3.375" style="151" bestFit="1" customWidth="1"/>
    <col min="11" max="16" width="17.625" style="151" customWidth="1"/>
    <col min="17" max="16384" width="9" style="151"/>
  </cols>
  <sheetData>
    <row r="1" spans="1:16" ht="65.25" customHeight="1" thickBot="1" x14ac:dyDescent="0.2">
      <c r="A1" s="216"/>
      <c r="I1" s="216"/>
    </row>
    <row r="2" spans="1:16" s="150" customFormat="1" ht="21.75" customHeight="1" x14ac:dyDescent="0.15">
      <c r="A2" s="334" t="s">
        <v>319</v>
      </c>
      <c r="B2" s="318" t="s">
        <v>523</v>
      </c>
      <c r="C2" s="337" t="s">
        <v>524</v>
      </c>
      <c r="D2" s="338"/>
      <c r="E2" s="321" t="s">
        <v>525</v>
      </c>
      <c r="F2" s="322"/>
      <c r="G2" s="321" t="s">
        <v>526</v>
      </c>
      <c r="H2" s="327"/>
      <c r="I2" s="349" t="s">
        <v>319</v>
      </c>
      <c r="J2" s="318" t="s">
        <v>523</v>
      </c>
      <c r="K2" s="321" t="s">
        <v>524</v>
      </c>
      <c r="L2" s="322"/>
      <c r="M2" s="321" t="s">
        <v>525</v>
      </c>
      <c r="N2" s="322"/>
      <c r="O2" s="321" t="s">
        <v>526</v>
      </c>
      <c r="P2" s="327"/>
    </row>
    <row r="3" spans="1:16" s="150" customFormat="1" ht="13.5" customHeight="1" x14ac:dyDescent="0.15">
      <c r="A3" s="335"/>
      <c r="B3" s="319"/>
      <c r="C3" s="339"/>
      <c r="D3" s="340"/>
      <c r="E3" s="343"/>
      <c r="F3" s="344"/>
      <c r="G3" s="343"/>
      <c r="H3" s="347"/>
      <c r="I3" s="350"/>
      <c r="J3" s="319"/>
      <c r="K3" s="323"/>
      <c r="L3" s="324"/>
      <c r="M3" s="323"/>
      <c r="N3" s="324"/>
      <c r="O3" s="323"/>
      <c r="P3" s="328"/>
    </row>
    <row r="4" spans="1:16" s="150" customFormat="1" ht="18.75" customHeight="1" x14ac:dyDescent="0.15">
      <c r="A4" s="335"/>
      <c r="B4" s="319"/>
      <c r="C4" s="341"/>
      <c r="D4" s="342"/>
      <c r="E4" s="345"/>
      <c r="F4" s="346"/>
      <c r="G4" s="345"/>
      <c r="H4" s="348"/>
      <c r="I4" s="350"/>
      <c r="J4" s="319"/>
      <c r="K4" s="325"/>
      <c r="L4" s="326"/>
      <c r="M4" s="325"/>
      <c r="N4" s="326"/>
      <c r="O4" s="325"/>
      <c r="P4" s="329"/>
    </row>
    <row r="5" spans="1:16" s="150" customFormat="1" ht="15.75" customHeight="1" thickBot="1" x14ac:dyDescent="0.2">
      <c r="A5" s="336"/>
      <c r="B5" s="320"/>
      <c r="C5" s="217" t="s">
        <v>527</v>
      </c>
      <c r="D5" s="217" t="s">
        <v>528</v>
      </c>
      <c r="E5" s="217" t="s">
        <v>527</v>
      </c>
      <c r="F5" s="217" t="s">
        <v>528</v>
      </c>
      <c r="G5" s="217" t="s">
        <v>527</v>
      </c>
      <c r="H5" s="218" t="s">
        <v>528</v>
      </c>
      <c r="I5" s="351"/>
      <c r="J5" s="320"/>
      <c r="K5" s="217" t="s">
        <v>527</v>
      </c>
      <c r="L5" s="217" t="s">
        <v>528</v>
      </c>
      <c r="M5" s="217" t="s">
        <v>527</v>
      </c>
      <c r="N5" s="217" t="s">
        <v>528</v>
      </c>
      <c r="O5" s="217" t="s">
        <v>527</v>
      </c>
      <c r="P5" s="218" t="s">
        <v>528</v>
      </c>
    </row>
    <row r="6" spans="1:16" s="150" customFormat="1" ht="13.5" customHeight="1" x14ac:dyDescent="0.15">
      <c r="A6" s="277">
        <v>2</v>
      </c>
      <c r="B6" s="294" t="s">
        <v>403</v>
      </c>
      <c r="C6" s="219" t="s">
        <v>302</v>
      </c>
      <c r="D6" s="332" t="s">
        <v>529</v>
      </c>
      <c r="E6" s="219" t="s">
        <v>302</v>
      </c>
      <c r="F6" s="332" t="s">
        <v>529</v>
      </c>
      <c r="G6" s="219" t="s">
        <v>300</v>
      </c>
      <c r="H6" s="333" t="s">
        <v>530</v>
      </c>
      <c r="I6" s="288">
        <v>17</v>
      </c>
      <c r="J6" s="294" t="s">
        <v>409</v>
      </c>
      <c r="K6" s="219" t="s">
        <v>302</v>
      </c>
      <c r="L6" s="352" t="s">
        <v>531</v>
      </c>
      <c r="M6" s="219" t="s">
        <v>302</v>
      </c>
      <c r="N6" s="352" t="s">
        <v>532</v>
      </c>
      <c r="O6" s="219" t="s">
        <v>300</v>
      </c>
      <c r="P6" s="353" t="s">
        <v>533</v>
      </c>
    </row>
    <row r="7" spans="1:16" x14ac:dyDescent="0.15">
      <c r="A7" s="330"/>
      <c r="B7" s="280"/>
      <c r="C7" s="219" t="s">
        <v>298</v>
      </c>
      <c r="D7" s="283"/>
      <c r="E7" s="219" t="s">
        <v>298</v>
      </c>
      <c r="F7" s="283"/>
      <c r="G7" s="219" t="s">
        <v>297</v>
      </c>
      <c r="H7" s="286"/>
      <c r="I7" s="289"/>
      <c r="J7" s="280"/>
      <c r="K7" s="219" t="s">
        <v>323</v>
      </c>
      <c r="L7" s="297"/>
      <c r="M7" s="219" t="s">
        <v>322</v>
      </c>
      <c r="N7" s="297"/>
      <c r="O7" s="219" t="s">
        <v>377</v>
      </c>
      <c r="P7" s="275"/>
    </row>
    <row r="8" spans="1:16" x14ac:dyDescent="0.15">
      <c r="A8" s="330"/>
      <c r="B8" s="280"/>
      <c r="C8" s="219" t="s">
        <v>293</v>
      </c>
      <c r="D8" s="283"/>
      <c r="E8" s="219" t="s">
        <v>293</v>
      </c>
      <c r="F8" s="283"/>
      <c r="G8" s="219" t="s">
        <v>295</v>
      </c>
      <c r="H8" s="286"/>
      <c r="I8" s="289"/>
      <c r="J8" s="280"/>
      <c r="K8" s="219" t="s">
        <v>376</v>
      </c>
      <c r="L8" s="297"/>
      <c r="M8" s="219" t="s">
        <v>376</v>
      </c>
      <c r="N8" s="297"/>
      <c r="O8" s="219" t="s">
        <v>320</v>
      </c>
      <c r="P8" s="275"/>
    </row>
    <row r="9" spans="1:16" x14ac:dyDescent="0.15">
      <c r="A9" s="331"/>
      <c r="B9" s="281"/>
      <c r="C9" s="220" t="s">
        <v>534</v>
      </c>
      <c r="D9" s="284"/>
      <c r="E9" s="220" t="s">
        <v>534</v>
      </c>
      <c r="F9" s="284"/>
      <c r="G9" s="220" t="s">
        <v>91</v>
      </c>
      <c r="H9" s="287"/>
      <c r="I9" s="311"/>
      <c r="J9" s="281"/>
      <c r="K9" s="219" t="s">
        <v>87</v>
      </c>
      <c r="L9" s="310"/>
      <c r="M9" s="219" t="s">
        <v>87</v>
      </c>
      <c r="N9" s="310"/>
      <c r="O9" s="219"/>
      <c r="P9" s="308"/>
    </row>
    <row r="10" spans="1:16" ht="13.5" customHeight="1" x14ac:dyDescent="0.15">
      <c r="A10" s="277">
        <v>3</v>
      </c>
      <c r="B10" s="294" t="s">
        <v>409</v>
      </c>
      <c r="C10" s="219" t="s">
        <v>302</v>
      </c>
      <c r="D10" s="282" t="s">
        <v>535</v>
      </c>
      <c r="E10" s="219" t="s">
        <v>302</v>
      </c>
      <c r="F10" s="312" t="s">
        <v>536</v>
      </c>
      <c r="G10" s="219" t="s">
        <v>300</v>
      </c>
      <c r="H10" s="285" t="s">
        <v>537</v>
      </c>
      <c r="I10" s="288">
        <v>18</v>
      </c>
      <c r="J10" s="294" t="s">
        <v>50</v>
      </c>
      <c r="K10" s="221" t="s">
        <v>302</v>
      </c>
      <c r="L10" s="296" t="s">
        <v>538</v>
      </c>
      <c r="M10" s="221" t="s">
        <v>302</v>
      </c>
      <c r="N10" s="296" t="s">
        <v>538</v>
      </c>
      <c r="O10" s="221" t="s">
        <v>300</v>
      </c>
      <c r="P10" s="274" t="s">
        <v>539</v>
      </c>
    </row>
    <row r="11" spans="1:16" x14ac:dyDescent="0.15">
      <c r="A11" s="277"/>
      <c r="B11" s="280"/>
      <c r="C11" s="219" t="s">
        <v>323</v>
      </c>
      <c r="D11" s="283"/>
      <c r="E11" s="219" t="s">
        <v>322</v>
      </c>
      <c r="F11" s="313"/>
      <c r="G11" s="219" t="s">
        <v>321</v>
      </c>
      <c r="H11" s="286"/>
      <c r="I11" s="289"/>
      <c r="J11" s="280"/>
      <c r="K11" s="219" t="s">
        <v>330</v>
      </c>
      <c r="L11" s="297"/>
      <c r="M11" s="219" t="s">
        <v>330</v>
      </c>
      <c r="N11" s="297"/>
      <c r="O11" s="219" t="s">
        <v>329</v>
      </c>
      <c r="P11" s="275"/>
    </row>
    <row r="12" spans="1:16" x14ac:dyDescent="0.15">
      <c r="A12" s="277"/>
      <c r="B12" s="280"/>
      <c r="C12" s="219" t="s">
        <v>87</v>
      </c>
      <c r="D12" s="283"/>
      <c r="E12" s="219" t="s">
        <v>87</v>
      </c>
      <c r="F12" s="313"/>
      <c r="G12" s="219" t="s">
        <v>320</v>
      </c>
      <c r="H12" s="286"/>
      <c r="I12" s="289"/>
      <c r="J12" s="280"/>
      <c r="K12" s="219" t="s">
        <v>326</v>
      </c>
      <c r="L12" s="297"/>
      <c r="M12" s="219" t="s">
        <v>326</v>
      </c>
      <c r="N12" s="297"/>
      <c r="O12" s="219" t="s">
        <v>328</v>
      </c>
      <c r="P12" s="275"/>
    </row>
    <row r="13" spans="1:16" x14ac:dyDescent="0.15">
      <c r="A13" s="277"/>
      <c r="B13" s="305"/>
      <c r="C13" s="219"/>
      <c r="D13" s="284"/>
      <c r="E13" s="219"/>
      <c r="F13" s="314"/>
      <c r="G13" s="219"/>
      <c r="H13" s="287"/>
      <c r="I13" s="307"/>
      <c r="J13" s="305"/>
      <c r="K13" s="220" t="s">
        <v>540</v>
      </c>
      <c r="L13" s="310"/>
      <c r="M13" s="220" t="s">
        <v>540</v>
      </c>
      <c r="N13" s="310"/>
      <c r="O13" s="220" t="s">
        <v>327</v>
      </c>
      <c r="P13" s="308"/>
    </row>
    <row r="14" spans="1:16" ht="13.5" customHeight="1" x14ac:dyDescent="0.15">
      <c r="A14" s="309">
        <v>4</v>
      </c>
      <c r="B14" s="279" t="s">
        <v>50</v>
      </c>
      <c r="C14" s="221" t="s">
        <v>302</v>
      </c>
      <c r="D14" s="282" t="s">
        <v>538</v>
      </c>
      <c r="E14" s="221" t="s">
        <v>302</v>
      </c>
      <c r="F14" s="282" t="s">
        <v>538</v>
      </c>
      <c r="G14" s="221" t="s">
        <v>300</v>
      </c>
      <c r="H14" s="285" t="s">
        <v>539</v>
      </c>
      <c r="I14" s="306">
        <v>19</v>
      </c>
      <c r="J14" s="279" t="s">
        <v>439</v>
      </c>
      <c r="K14" s="219" t="s">
        <v>337</v>
      </c>
      <c r="L14" s="296" t="s">
        <v>541</v>
      </c>
      <c r="M14" s="219" t="s">
        <v>337</v>
      </c>
      <c r="N14" s="315" t="s">
        <v>542</v>
      </c>
      <c r="O14" s="219" t="s">
        <v>336</v>
      </c>
      <c r="P14" s="274" t="s">
        <v>543</v>
      </c>
    </row>
    <row r="15" spans="1:16" x14ac:dyDescent="0.15">
      <c r="A15" s="277"/>
      <c r="B15" s="280"/>
      <c r="C15" s="219" t="s">
        <v>330</v>
      </c>
      <c r="D15" s="283"/>
      <c r="E15" s="219" t="s">
        <v>330</v>
      </c>
      <c r="F15" s="283"/>
      <c r="G15" s="219" t="s">
        <v>329</v>
      </c>
      <c r="H15" s="286"/>
      <c r="I15" s="289"/>
      <c r="J15" s="280"/>
      <c r="K15" s="219" t="s">
        <v>332</v>
      </c>
      <c r="L15" s="297"/>
      <c r="M15" s="219" t="s">
        <v>332</v>
      </c>
      <c r="N15" s="316"/>
      <c r="O15" s="219" t="s">
        <v>334</v>
      </c>
      <c r="P15" s="275"/>
    </row>
    <row r="16" spans="1:16" x14ac:dyDescent="0.15">
      <c r="A16" s="277"/>
      <c r="B16" s="280"/>
      <c r="C16" s="219" t="s">
        <v>326</v>
      </c>
      <c r="D16" s="283"/>
      <c r="E16" s="219" t="s">
        <v>326</v>
      </c>
      <c r="F16" s="283"/>
      <c r="G16" s="219" t="s">
        <v>328</v>
      </c>
      <c r="H16" s="286"/>
      <c r="I16" s="289"/>
      <c r="J16" s="280"/>
      <c r="K16" s="219" t="s">
        <v>91</v>
      </c>
      <c r="L16" s="297"/>
      <c r="M16" s="219" t="s">
        <v>91</v>
      </c>
      <c r="N16" s="316"/>
      <c r="O16" s="219" t="s">
        <v>333</v>
      </c>
      <c r="P16" s="275"/>
    </row>
    <row r="17" spans="1:16" x14ac:dyDescent="0.15">
      <c r="A17" s="278"/>
      <c r="B17" s="281"/>
      <c r="C17" s="220" t="s">
        <v>544</v>
      </c>
      <c r="D17" s="284"/>
      <c r="E17" s="220" t="s">
        <v>544</v>
      </c>
      <c r="F17" s="284"/>
      <c r="G17" s="220" t="s">
        <v>327</v>
      </c>
      <c r="H17" s="287"/>
      <c r="I17" s="311"/>
      <c r="J17" s="281"/>
      <c r="K17" s="219"/>
      <c r="L17" s="310"/>
      <c r="M17" s="219"/>
      <c r="N17" s="317"/>
      <c r="O17" s="219" t="s">
        <v>91</v>
      </c>
      <c r="P17" s="308"/>
    </row>
    <row r="18" spans="1:16" ht="13.5" customHeight="1" x14ac:dyDescent="0.15">
      <c r="A18" s="277">
        <v>5</v>
      </c>
      <c r="B18" s="294" t="s">
        <v>439</v>
      </c>
      <c r="C18" s="219" t="s">
        <v>337</v>
      </c>
      <c r="D18" s="282" t="s">
        <v>541</v>
      </c>
      <c r="E18" s="219" t="s">
        <v>337</v>
      </c>
      <c r="F18" s="312" t="s">
        <v>542</v>
      </c>
      <c r="G18" s="219" t="s">
        <v>336</v>
      </c>
      <c r="H18" s="285" t="s">
        <v>543</v>
      </c>
      <c r="I18" s="404">
        <v>20</v>
      </c>
      <c r="J18" s="279" t="s">
        <v>448</v>
      </c>
      <c r="K18" s="221" t="s">
        <v>302</v>
      </c>
      <c r="L18" s="296" t="s">
        <v>545</v>
      </c>
      <c r="M18" s="221" t="s">
        <v>302</v>
      </c>
      <c r="N18" s="296" t="s">
        <v>546</v>
      </c>
      <c r="O18" s="221" t="s">
        <v>300</v>
      </c>
      <c r="P18" s="274" t="s">
        <v>547</v>
      </c>
    </row>
    <row r="19" spans="1:16" x14ac:dyDescent="0.15">
      <c r="A19" s="277"/>
      <c r="B19" s="280"/>
      <c r="C19" s="219" t="s">
        <v>332</v>
      </c>
      <c r="D19" s="283"/>
      <c r="E19" s="219" t="s">
        <v>332</v>
      </c>
      <c r="F19" s="313"/>
      <c r="G19" s="219" t="s">
        <v>334</v>
      </c>
      <c r="H19" s="286"/>
      <c r="I19" s="405"/>
      <c r="J19" s="280"/>
      <c r="K19" s="219" t="s">
        <v>342</v>
      </c>
      <c r="L19" s="297"/>
      <c r="M19" s="219" t="s">
        <v>341</v>
      </c>
      <c r="N19" s="297"/>
      <c r="O19" s="219" t="s">
        <v>340</v>
      </c>
      <c r="P19" s="275"/>
    </row>
    <row r="20" spans="1:16" x14ac:dyDescent="0.15">
      <c r="A20" s="277"/>
      <c r="B20" s="280"/>
      <c r="C20" s="219" t="s">
        <v>91</v>
      </c>
      <c r="D20" s="283"/>
      <c r="E20" s="219" t="s">
        <v>91</v>
      </c>
      <c r="F20" s="313"/>
      <c r="G20" s="219" t="s">
        <v>333</v>
      </c>
      <c r="H20" s="286"/>
      <c r="I20" s="405"/>
      <c r="J20" s="280"/>
      <c r="K20" s="219" t="s">
        <v>338</v>
      </c>
      <c r="L20" s="297"/>
      <c r="M20" s="219" t="s">
        <v>338</v>
      </c>
      <c r="N20" s="297"/>
      <c r="O20" s="219" t="s">
        <v>339</v>
      </c>
      <c r="P20" s="275"/>
    </row>
    <row r="21" spans="1:16" x14ac:dyDescent="0.15">
      <c r="A21" s="277"/>
      <c r="B21" s="305"/>
      <c r="C21" s="219"/>
      <c r="D21" s="284"/>
      <c r="E21" s="219"/>
      <c r="F21" s="314"/>
      <c r="G21" s="219" t="s">
        <v>91</v>
      </c>
      <c r="H21" s="287"/>
      <c r="I21" s="406"/>
      <c r="J21" s="281"/>
      <c r="K21" s="220" t="s">
        <v>63</v>
      </c>
      <c r="L21" s="310"/>
      <c r="M21" s="220" t="s">
        <v>63</v>
      </c>
      <c r="N21" s="310"/>
      <c r="O21" s="220"/>
      <c r="P21" s="308"/>
    </row>
    <row r="22" spans="1:16" ht="13.5" customHeight="1" x14ac:dyDescent="0.15">
      <c r="A22" s="309">
        <v>6</v>
      </c>
      <c r="B22" s="279" t="s">
        <v>448</v>
      </c>
      <c r="C22" s="221" t="s">
        <v>302</v>
      </c>
      <c r="D22" s="282" t="s">
        <v>545</v>
      </c>
      <c r="E22" s="221" t="s">
        <v>302</v>
      </c>
      <c r="F22" s="282" t="s">
        <v>546</v>
      </c>
      <c r="G22" s="221" t="s">
        <v>300</v>
      </c>
      <c r="H22" s="285" t="s">
        <v>547</v>
      </c>
      <c r="I22" s="407"/>
      <c r="J22" s="174"/>
      <c r="K22" s="174"/>
      <c r="L22" s="174"/>
      <c r="M22" s="174"/>
      <c r="N22" s="174"/>
      <c r="O22" s="174"/>
      <c r="P22" s="408"/>
    </row>
    <row r="23" spans="1:16" x14ac:dyDescent="0.15">
      <c r="A23" s="277"/>
      <c r="B23" s="280"/>
      <c r="C23" s="219" t="s">
        <v>342</v>
      </c>
      <c r="D23" s="283"/>
      <c r="E23" s="219" t="s">
        <v>341</v>
      </c>
      <c r="F23" s="283"/>
      <c r="G23" s="219" t="s">
        <v>340</v>
      </c>
      <c r="H23" s="286"/>
      <c r="I23" s="401"/>
      <c r="J23" s="178"/>
      <c r="K23" s="178"/>
      <c r="L23" s="178"/>
      <c r="M23" s="178"/>
      <c r="N23" s="178"/>
      <c r="O23" s="178"/>
      <c r="P23" s="402"/>
    </row>
    <row r="24" spans="1:16" ht="13.15" customHeight="1" x14ac:dyDescent="0.15">
      <c r="A24" s="277"/>
      <c r="B24" s="280"/>
      <c r="C24" s="219" t="s">
        <v>338</v>
      </c>
      <c r="D24" s="283"/>
      <c r="E24" s="219" t="s">
        <v>338</v>
      </c>
      <c r="F24" s="283"/>
      <c r="G24" s="219" t="s">
        <v>339</v>
      </c>
      <c r="H24" s="286"/>
      <c r="I24" s="288">
        <v>24</v>
      </c>
      <c r="J24" s="294" t="s">
        <v>409</v>
      </c>
      <c r="K24" s="219" t="s">
        <v>302</v>
      </c>
      <c r="L24" s="352" t="s">
        <v>548</v>
      </c>
      <c r="M24" s="219" t="s">
        <v>302</v>
      </c>
      <c r="N24" s="352" t="s">
        <v>549</v>
      </c>
      <c r="O24" s="219" t="s">
        <v>300</v>
      </c>
      <c r="P24" s="353" t="s">
        <v>550</v>
      </c>
    </row>
    <row r="25" spans="1:16" x14ac:dyDescent="0.15">
      <c r="A25" s="278"/>
      <c r="B25" s="281"/>
      <c r="C25" s="220" t="s">
        <v>63</v>
      </c>
      <c r="D25" s="284"/>
      <c r="E25" s="220" t="s">
        <v>63</v>
      </c>
      <c r="F25" s="284"/>
      <c r="G25" s="220"/>
      <c r="H25" s="287"/>
      <c r="I25" s="289"/>
      <c r="J25" s="280"/>
      <c r="K25" s="219" t="s">
        <v>386</v>
      </c>
      <c r="L25" s="297"/>
      <c r="M25" s="219" t="s">
        <v>551</v>
      </c>
      <c r="N25" s="297"/>
      <c r="O25" s="219" t="s">
        <v>384</v>
      </c>
      <c r="P25" s="275"/>
    </row>
    <row r="26" spans="1:16" ht="13.5" customHeight="1" x14ac:dyDescent="0.15">
      <c r="A26" s="398"/>
      <c r="B26" s="399"/>
      <c r="C26" s="399"/>
      <c r="D26" s="399"/>
      <c r="E26" s="399"/>
      <c r="F26" s="399"/>
      <c r="G26" s="399"/>
      <c r="H26" s="400"/>
      <c r="I26" s="289"/>
      <c r="J26" s="280"/>
      <c r="K26" s="219" t="s">
        <v>352</v>
      </c>
      <c r="L26" s="297"/>
      <c r="M26" s="219" t="s">
        <v>352</v>
      </c>
      <c r="N26" s="297"/>
      <c r="O26" s="219" t="s">
        <v>383</v>
      </c>
      <c r="P26" s="275"/>
    </row>
    <row r="27" spans="1:16" x14ac:dyDescent="0.15">
      <c r="A27" s="401"/>
      <c r="B27" s="178"/>
      <c r="C27" s="178"/>
      <c r="D27" s="178"/>
      <c r="E27" s="178"/>
      <c r="F27" s="178"/>
      <c r="G27" s="178"/>
      <c r="H27" s="402"/>
      <c r="I27" s="307"/>
      <c r="J27" s="305"/>
      <c r="K27" s="220" t="s">
        <v>63</v>
      </c>
      <c r="L27" s="310"/>
      <c r="M27" s="220" t="s">
        <v>63</v>
      </c>
      <c r="N27" s="310"/>
      <c r="O27" s="220"/>
      <c r="P27" s="308"/>
    </row>
    <row r="28" spans="1:16" ht="13.15" customHeight="1" x14ac:dyDescent="0.15">
      <c r="A28" s="277">
        <v>9</v>
      </c>
      <c r="B28" s="294" t="s">
        <v>403</v>
      </c>
      <c r="C28" s="219" t="s">
        <v>302</v>
      </c>
      <c r="D28" s="332" t="s">
        <v>552</v>
      </c>
      <c r="E28" s="219" t="s">
        <v>302</v>
      </c>
      <c r="F28" s="332" t="s">
        <v>553</v>
      </c>
      <c r="G28" s="219" t="s">
        <v>300</v>
      </c>
      <c r="H28" s="333" t="s">
        <v>554</v>
      </c>
      <c r="I28" s="306">
        <v>25</v>
      </c>
      <c r="J28" s="279" t="s">
        <v>50</v>
      </c>
      <c r="K28" s="219" t="s">
        <v>302</v>
      </c>
      <c r="L28" s="296" t="s">
        <v>555</v>
      </c>
      <c r="M28" s="219" t="s">
        <v>302</v>
      </c>
      <c r="N28" s="296" t="s">
        <v>556</v>
      </c>
      <c r="O28" s="219" t="s">
        <v>300</v>
      </c>
      <c r="P28" s="274" t="s">
        <v>557</v>
      </c>
    </row>
    <row r="29" spans="1:16" x14ac:dyDescent="0.15">
      <c r="A29" s="277"/>
      <c r="B29" s="280"/>
      <c r="C29" s="219" t="s">
        <v>350</v>
      </c>
      <c r="D29" s="283"/>
      <c r="E29" s="219" t="s">
        <v>349</v>
      </c>
      <c r="F29" s="283"/>
      <c r="G29" s="219" t="s">
        <v>348</v>
      </c>
      <c r="H29" s="286"/>
      <c r="I29" s="289"/>
      <c r="J29" s="280"/>
      <c r="K29" s="219" t="s">
        <v>364</v>
      </c>
      <c r="L29" s="297"/>
      <c r="M29" s="219" t="s">
        <v>363</v>
      </c>
      <c r="N29" s="297"/>
      <c r="O29" s="219" t="s">
        <v>362</v>
      </c>
      <c r="P29" s="275"/>
    </row>
    <row r="30" spans="1:16" ht="13.5" customHeight="1" x14ac:dyDescent="0.15">
      <c r="A30" s="277"/>
      <c r="B30" s="280"/>
      <c r="C30" s="219" t="s">
        <v>186</v>
      </c>
      <c r="D30" s="283"/>
      <c r="E30" s="219" t="s">
        <v>345</v>
      </c>
      <c r="F30" s="283"/>
      <c r="G30" s="219" t="s">
        <v>347</v>
      </c>
      <c r="H30" s="286"/>
      <c r="I30" s="289"/>
      <c r="J30" s="280"/>
      <c r="K30" s="219" t="s">
        <v>332</v>
      </c>
      <c r="L30" s="297"/>
      <c r="M30" s="219" t="s">
        <v>332</v>
      </c>
      <c r="N30" s="297"/>
      <c r="O30" s="219" t="s">
        <v>361</v>
      </c>
      <c r="P30" s="275"/>
    </row>
    <row r="31" spans="1:16" x14ac:dyDescent="0.15">
      <c r="A31" s="277"/>
      <c r="B31" s="305"/>
      <c r="C31" s="219" t="s">
        <v>87</v>
      </c>
      <c r="D31" s="284"/>
      <c r="E31" s="219" t="s">
        <v>87</v>
      </c>
      <c r="F31" s="284"/>
      <c r="G31" s="219" t="s">
        <v>346</v>
      </c>
      <c r="H31" s="287"/>
      <c r="I31" s="311"/>
      <c r="J31" s="281"/>
      <c r="K31" s="219" t="s">
        <v>558</v>
      </c>
      <c r="L31" s="310"/>
      <c r="M31" s="219" t="s">
        <v>558</v>
      </c>
      <c r="N31" s="310"/>
      <c r="O31" s="219" t="s">
        <v>360</v>
      </c>
      <c r="P31" s="308"/>
    </row>
    <row r="32" spans="1:16" ht="13.15" customHeight="1" x14ac:dyDescent="0.15">
      <c r="A32" s="309">
        <v>10</v>
      </c>
      <c r="B32" s="279" t="s">
        <v>409</v>
      </c>
      <c r="C32" s="221" t="s">
        <v>302</v>
      </c>
      <c r="D32" s="282" t="s">
        <v>559</v>
      </c>
      <c r="E32" s="221" t="s">
        <v>302</v>
      </c>
      <c r="F32" s="282" t="s">
        <v>560</v>
      </c>
      <c r="G32" s="221" t="s">
        <v>300</v>
      </c>
      <c r="H32" s="285" t="s">
        <v>561</v>
      </c>
      <c r="I32" s="288">
        <v>26</v>
      </c>
      <c r="J32" s="294" t="s">
        <v>439</v>
      </c>
      <c r="K32" s="221" t="s">
        <v>302</v>
      </c>
      <c r="L32" s="296" t="s">
        <v>562</v>
      </c>
      <c r="M32" s="221" t="s">
        <v>302</v>
      </c>
      <c r="N32" s="296" t="s">
        <v>562</v>
      </c>
      <c r="O32" s="221" t="s">
        <v>300</v>
      </c>
      <c r="P32" s="274" t="s">
        <v>563</v>
      </c>
    </row>
    <row r="33" spans="1:16" x14ac:dyDescent="0.15">
      <c r="A33" s="277"/>
      <c r="B33" s="280"/>
      <c r="C33" s="219" t="s">
        <v>564</v>
      </c>
      <c r="D33" s="283"/>
      <c r="E33" s="219" t="s">
        <v>564</v>
      </c>
      <c r="F33" s="283"/>
      <c r="G33" s="219" t="s">
        <v>355</v>
      </c>
      <c r="H33" s="286"/>
      <c r="I33" s="289"/>
      <c r="J33" s="280"/>
      <c r="K33" s="219" t="s">
        <v>368</v>
      </c>
      <c r="L33" s="297"/>
      <c r="M33" s="219" t="s">
        <v>368</v>
      </c>
      <c r="N33" s="297"/>
      <c r="O33" s="219" t="s">
        <v>367</v>
      </c>
      <c r="P33" s="275"/>
    </row>
    <row r="34" spans="1:16" ht="13.5" customHeight="1" x14ac:dyDescent="0.15">
      <c r="A34" s="277"/>
      <c r="B34" s="280"/>
      <c r="C34" s="219" t="s">
        <v>352</v>
      </c>
      <c r="D34" s="283"/>
      <c r="E34" s="219" t="s">
        <v>352</v>
      </c>
      <c r="F34" s="283"/>
      <c r="G34" s="219" t="s">
        <v>354</v>
      </c>
      <c r="H34" s="286"/>
      <c r="I34" s="289"/>
      <c r="J34" s="280"/>
      <c r="K34" s="219" t="s">
        <v>365</v>
      </c>
      <c r="L34" s="297"/>
      <c r="M34" s="219" t="s">
        <v>365</v>
      </c>
      <c r="N34" s="297"/>
      <c r="O34" s="219" t="s">
        <v>366</v>
      </c>
      <c r="P34" s="275"/>
    </row>
    <row r="35" spans="1:16" x14ac:dyDescent="0.15">
      <c r="A35" s="278"/>
      <c r="B35" s="281"/>
      <c r="C35" s="220" t="s">
        <v>565</v>
      </c>
      <c r="D35" s="284"/>
      <c r="E35" s="220" t="s">
        <v>565</v>
      </c>
      <c r="F35" s="284"/>
      <c r="G35" s="220" t="s">
        <v>566</v>
      </c>
      <c r="H35" s="287"/>
      <c r="I35" s="307"/>
      <c r="J35" s="305"/>
      <c r="K35" s="220" t="s">
        <v>565</v>
      </c>
      <c r="L35" s="310"/>
      <c r="M35" s="220" t="s">
        <v>565</v>
      </c>
      <c r="N35" s="310"/>
      <c r="O35" s="220" t="s">
        <v>44</v>
      </c>
      <c r="P35" s="308"/>
    </row>
    <row r="36" spans="1:16" x14ac:dyDescent="0.15">
      <c r="A36" s="277">
        <v>11</v>
      </c>
      <c r="B36" s="294" t="s">
        <v>50</v>
      </c>
      <c r="C36" s="219" t="s">
        <v>302</v>
      </c>
      <c r="D36" s="282" t="s">
        <v>555</v>
      </c>
      <c r="E36" s="219" t="s">
        <v>302</v>
      </c>
      <c r="F36" s="282" t="s">
        <v>556</v>
      </c>
      <c r="G36" s="219" t="s">
        <v>300</v>
      </c>
      <c r="H36" s="285" t="s">
        <v>557</v>
      </c>
      <c r="I36" s="404">
        <v>27</v>
      </c>
      <c r="J36" s="279" t="s">
        <v>448</v>
      </c>
      <c r="K36" s="221" t="s">
        <v>302</v>
      </c>
      <c r="L36" s="296" t="s">
        <v>567</v>
      </c>
      <c r="M36" s="221" t="s">
        <v>302</v>
      </c>
      <c r="N36" s="296" t="s">
        <v>568</v>
      </c>
      <c r="O36" s="221" t="s">
        <v>300</v>
      </c>
      <c r="P36" s="274" t="s">
        <v>569</v>
      </c>
    </row>
    <row r="37" spans="1:16" x14ac:dyDescent="0.15">
      <c r="A37" s="277"/>
      <c r="B37" s="280"/>
      <c r="C37" s="219" t="s">
        <v>364</v>
      </c>
      <c r="D37" s="283"/>
      <c r="E37" s="219" t="s">
        <v>363</v>
      </c>
      <c r="F37" s="283"/>
      <c r="G37" s="219" t="s">
        <v>362</v>
      </c>
      <c r="H37" s="286"/>
      <c r="I37" s="405"/>
      <c r="J37" s="280"/>
      <c r="K37" s="219" t="s">
        <v>375</v>
      </c>
      <c r="L37" s="297"/>
      <c r="M37" s="219" t="s">
        <v>374</v>
      </c>
      <c r="N37" s="297"/>
      <c r="O37" s="219" t="s">
        <v>570</v>
      </c>
      <c r="P37" s="275"/>
    </row>
    <row r="38" spans="1:16" ht="13.5" customHeight="1" x14ac:dyDescent="0.15">
      <c r="A38" s="277"/>
      <c r="B38" s="280"/>
      <c r="C38" s="219" t="s">
        <v>332</v>
      </c>
      <c r="D38" s="283"/>
      <c r="E38" s="219" t="s">
        <v>332</v>
      </c>
      <c r="F38" s="283"/>
      <c r="G38" s="219" t="s">
        <v>361</v>
      </c>
      <c r="H38" s="286"/>
      <c r="I38" s="405"/>
      <c r="J38" s="280"/>
      <c r="K38" s="219" t="s">
        <v>371</v>
      </c>
      <c r="L38" s="297"/>
      <c r="M38" s="219" t="s">
        <v>371</v>
      </c>
      <c r="N38" s="297"/>
      <c r="O38" s="219" t="s">
        <v>372</v>
      </c>
      <c r="P38" s="275"/>
    </row>
    <row r="39" spans="1:16" x14ac:dyDescent="0.15">
      <c r="A39" s="277"/>
      <c r="B39" s="305"/>
      <c r="C39" s="219" t="s">
        <v>558</v>
      </c>
      <c r="D39" s="284"/>
      <c r="E39" s="219" t="s">
        <v>558</v>
      </c>
      <c r="F39" s="284"/>
      <c r="G39" s="219" t="s">
        <v>360</v>
      </c>
      <c r="H39" s="287"/>
      <c r="I39" s="406"/>
      <c r="J39" s="281"/>
      <c r="K39" s="220" t="s">
        <v>142</v>
      </c>
      <c r="L39" s="310"/>
      <c r="M39" s="220" t="s">
        <v>142</v>
      </c>
      <c r="N39" s="310"/>
      <c r="O39" s="220" t="s">
        <v>327</v>
      </c>
      <c r="P39" s="308"/>
    </row>
    <row r="40" spans="1:16" x14ac:dyDescent="0.15">
      <c r="A40" s="276">
        <v>12</v>
      </c>
      <c r="B40" s="279" t="s">
        <v>439</v>
      </c>
      <c r="C40" s="221" t="s">
        <v>302</v>
      </c>
      <c r="D40" s="282" t="s">
        <v>571</v>
      </c>
      <c r="E40" s="221" t="s">
        <v>302</v>
      </c>
      <c r="F40" s="282" t="s">
        <v>571</v>
      </c>
      <c r="G40" s="221" t="s">
        <v>300</v>
      </c>
      <c r="H40" s="285" t="s">
        <v>572</v>
      </c>
      <c r="I40" s="403"/>
      <c r="J40" s="399"/>
      <c r="K40" s="399"/>
      <c r="L40" s="399"/>
      <c r="M40" s="399"/>
      <c r="N40" s="399"/>
      <c r="O40" s="399"/>
      <c r="P40" s="400"/>
    </row>
    <row r="41" spans="1:16" x14ac:dyDescent="0.15">
      <c r="A41" s="277"/>
      <c r="B41" s="280"/>
      <c r="C41" s="219" t="s">
        <v>368</v>
      </c>
      <c r="D41" s="283"/>
      <c r="E41" s="219" t="s">
        <v>368</v>
      </c>
      <c r="F41" s="283"/>
      <c r="G41" s="219" t="s">
        <v>367</v>
      </c>
      <c r="H41" s="286"/>
      <c r="I41" s="401"/>
      <c r="J41" s="178"/>
      <c r="K41" s="178"/>
      <c r="L41" s="178"/>
      <c r="M41" s="178"/>
      <c r="N41" s="178"/>
      <c r="O41" s="178"/>
      <c r="P41" s="402"/>
    </row>
    <row r="42" spans="1:16" ht="13.5" customHeight="1" x14ac:dyDescent="0.15">
      <c r="A42" s="277"/>
      <c r="B42" s="280"/>
      <c r="C42" s="219" t="s">
        <v>365</v>
      </c>
      <c r="D42" s="283"/>
      <c r="E42" s="219" t="s">
        <v>365</v>
      </c>
      <c r="F42" s="283"/>
      <c r="G42" s="219" t="s">
        <v>366</v>
      </c>
      <c r="H42" s="286"/>
      <c r="I42" s="288">
        <v>30</v>
      </c>
      <c r="J42" s="294" t="s">
        <v>403</v>
      </c>
      <c r="K42" s="219" t="s">
        <v>302</v>
      </c>
      <c r="L42" s="352" t="s">
        <v>529</v>
      </c>
      <c r="M42" s="219" t="s">
        <v>302</v>
      </c>
      <c r="N42" s="352" t="s">
        <v>529</v>
      </c>
      <c r="O42" s="219" t="s">
        <v>300</v>
      </c>
      <c r="P42" s="353" t="s">
        <v>530</v>
      </c>
    </row>
    <row r="43" spans="1:16" x14ac:dyDescent="0.15">
      <c r="A43" s="278"/>
      <c r="B43" s="281"/>
      <c r="C43" s="220" t="s">
        <v>573</v>
      </c>
      <c r="D43" s="284"/>
      <c r="E43" s="220" t="s">
        <v>573</v>
      </c>
      <c r="F43" s="284"/>
      <c r="G43" s="220" t="s">
        <v>91</v>
      </c>
      <c r="H43" s="287"/>
      <c r="I43" s="289"/>
      <c r="J43" s="280"/>
      <c r="K43" s="219" t="s">
        <v>298</v>
      </c>
      <c r="L43" s="297"/>
      <c r="M43" s="219" t="s">
        <v>298</v>
      </c>
      <c r="N43" s="297"/>
      <c r="O43" s="219" t="s">
        <v>297</v>
      </c>
      <c r="P43" s="275"/>
    </row>
    <row r="44" spans="1:16" x14ac:dyDescent="0.15">
      <c r="A44" s="300">
        <v>13</v>
      </c>
      <c r="B44" s="294" t="s">
        <v>448</v>
      </c>
      <c r="C44" s="219" t="s">
        <v>302</v>
      </c>
      <c r="D44" s="282" t="s">
        <v>567</v>
      </c>
      <c r="E44" s="219" t="s">
        <v>302</v>
      </c>
      <c r="F44" s="282" t="s">
        <v>568</v>
      </c>
      <c r="G44" s="219" t="s">
        <v>300</v>
      </c>
      <c r="H44" s="285" t="s">
        <v>569</v>
      </c>
      <c r="I44" s="289"/>
      <c r="J44" s="280"/>
      <c r="K44" s="219" t="s">
        <v>293</v>
      </c>
      <c r="L44" s="297"/>
      <c r="M44" s="219" t="s">
        <v>293</v>
      </c>
      <c r="N44" s="297"/>
      <c r="O44" s="219" t="s">
        <v>295</v>
      </c>
      <c r="P44" s="275"/>
    </row>
    <row r="45" spans="1:16" ht="14.25" thickBot="1" x14ac:dyDescent="0.2">
      <c r="A45" s="277"/>
      <c r="B45" s="280"/>
      <c r="C45" s="219" t="s">
        <v>375</v>
      </c>
      <c r="D45" s="283"/>
      <c r="E45" s="219" t="s">
        <v>374</v>
      </c>
      <c r="F45" s="283"/>
      <c r="G45" s="219" t="s">
        <v>570</v>
      </c>
      <c r="H45" s="286"/>
      <c r="I45" s="290"/>
      <c r="J45" s="295"/>
      <c r="K45" s="222" t="s">
        <v>574</v>
      </c>
      <c r="L45" s="298"/>
      <c r="M45" s="222" t="s">
        <v>574</v>
      </c>
      <c r="N45" s="298"/>
      <c r="O45" s="222" t="s">
        <v>91</v>
      </c>
      <c r="P45" s="299"/>
    </row>
    <row r="46" spans="1:16" ht="13.5" customHeight="1" x14ac:dyDescent="0.15">
      <c r="A46" s="277"/>
      <c r="B46" s="280"/>
      <c r="C46" s="219" t="s">
        <v>371</v>
      </c>
      <c r="D46" s="283"/>
      <c r="E46" s="219" t="s">
        <v>371</v>
      </c>
      <c r="F46" s="283"/>
      <c r="G46" s="219" t="s">
        <v>372</v>
      </c>
      <c r="H46" s="286"/>
      <c r="I46" s="291"/>
      <c r="J46" s="291"/>
      <c r="K46" s="223"/>
      <c r="L46" s="292"/>
      <c r="M46" s="223"/>
      <c r="N46" s="292"/>
      <c r="O46" s="223"/>
      <c r="P46" s="292"/>
    </row>
    <row r="47" spans="1:16" ht="14.25" thickBot="1" x14ac:dyDescent="0.2">
      <c r="A47" s="301"/>
      <c r="B47" s="295"/>
      <c r="C47" s="222" t="s">
        <v>142</v>
      </c>
      <c r="D47" s="302"/>
      <c r="E47" s="222" t="s">
        <v>142</v>
      </c>
      <c r="F47" s="302"/>
      <c r="G47" s="222" t="s">
        <v>327</v>
      </c>
      <c r="H47" s="303"/>
      <c r="I47" s="304"/>
      <c r="J47" s="291"/>
      <c r="K47" s="223"/>
      <c r="L47" s="293"/>
      <c r="M47" s="223"/>
      <c r="N47" s="293"/>
      <c r="O47" s="223"/>
      <c r="P47" s="293"/>
    </row>
    <row r="48" spans="1:16" ht="13.15" customHeight="1" x14ac:dyDescent="0.15">
      <c r="I48" s="304"/>
      <c r="J48" s="291"/>
      <c r="K48" s="223"/>
      <c r="L48" s="293"/>
      <c r="M48" s="223"/>
      <c r="N48" s="293"/>
      <c r="O48" s="223"/>
      <c r="P48" s="293"/>
    </row>
    <row r="49" spans="9:16" x14ac:dyDescent="0.15">
      <c r="I49" s="304"/>
      <c r="J49" s="291"/>
      <c r="K49" s="223"/>
      <c r="L49" s="293"/>
      <c r="M49" s="223"/>
      <c r="N49" s="293"/>
      <c r="O49" s="223"/>
      <c r="P49" s="293"/>
    </row>
    <row r="50" spans="9:16" ht="13.5" customHeight="1" x14ac:dyDescent="0.15"/>
    <row r="52" spans="9:16" ht="13.15" customHeight="1" x14ac:dyDescent="0.15"/>
    <row r="54" spans="9:16" ht="13.5" customHeight="1" x14ac:dyDescent="0.15"/>
    <row r="58" spans="9:16" ht="13.5" customHeight="1" x14ac:dyDescent="0.15"/>
    <row r="62" spans="9:16" ht="13.5" customHeight="1" x14ac:dyDescent="0.15"/>
  </sheetData>
  <mergeCells count="110">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 ref="P10:P13"/>
    <mergeCell ref="A14:A17"/>
    <mergeCell ref="B14:B17"/>
    <mergeCell ref="D14:D17"/>
    <mergeCell ref="F14:F17"/>
    <mergeCell ref="H14:H17"/>
    <mergeCell ref="I14:I17"/>
    <mergeCell ref="J14:J17"/>
    <mergeCell ref="L14:L17"/>
    <mergeCell ref="N14:N17"/>
    <mergeCell ref="P14:P17"/>
    <mergeCell ref="A10:A13"/>
    <mergeCell ref="B10:B13"/>
    <mergeCell ref="D10:D13"/>
    <mergeCell ref="F10:F13"/>
    <mergeCell ref="H10:H13"/>
    <mergeCell ref="I10:I13"/>
    <mergeCell ref="J10:J13"/>
    <mergeCell ref="L10:L13"/>
    <mergeCell ref="N10:N13"/>
    <mergeCell ref="L28:L31"/>
    <mergeCell ref="N28:N31"/>
    <mergeCell ref="P18:P21"/>
    <mergeCell ref="A22:A25"/>
    <mergeCell ref="B22:B25"/>
    <mergeCell ref="D22:D25"/>
    <mergeCell ref="F22:F25"/>
    <mergeCell ref="H22:H25"/>
    <mergeCell ref="I24:I27"/>
    <mergeCell ref="J24:J27"/>
    <mergeCell ref="L24:L27"/>
    <mergeCell ref="N24:N27"/>
    <mergeCell ref="P24:P27"/>
    <mergeCell ref="A18:A21"/>
    <mergeCell ref="B18:B21"/>
    <mergeCell ref="D18:D21"/>
    <mergeCell ref="F18:F21"/>
    <mergeCell ref="H18:H21"/>
    <mergeCell ref="I18:I21"/>
    <mergeCell ref="J18:J21"/>
    <mergeCell ref="L18:L21"/>
    <mergeCell ref="N18:N21"/>
    <mergeCell ref="F36:F39"/>
    <mergeCell ref="H36:H39"/>
    <mergeCell ref="I36:I39"/>
    <mergeCell ref="J36:J39"/>
    <mergeCell ref="L36:L39"/>
    <mergeCell ref="N36:N39"/>
    <mergeCell ref="P28:P31"/>
    <mergeCell ref="A32:A35"/>
    <mergeCell ref="B32:B35"/>
    <mergeCell ref="D32:D35"/>
    <mergeCell ref="F32:F35"/>
    <mergeCell ref="H32:H35"/>
    <mergeCell ref="I32:I35"/>
    <mergeCell ref="J32:J35"/>
    <mergeCell ref="L32:L35"/>
    <mergeCell ref="N32:N35"/>
    <mergeCell ref="P32:P35"/>
    <mergeCell ref="A28:A31"/>
    <mergeCell ref="B28:B31"/>
    <mergeCell ref="D28:D31"/>
    <mergeCell ref="F28:F31"/>
    <mergeCell ref="H28:H31"/>
    <mergeCell ref="I28:I31"/>
    <mergeCell ref="J28:J31"/>
    <mergeCell ref="P36:P39"/>
    <mergeCell ref="A40:A43"/>
    <mergeCell ref="B40:B43"/>
    <mergeCell ref="D40:D43"/>
    <mergeCell ref="F40:F43"/>
    <mergeCell ref="H40:H43"/>
    <mergeCell ref="I42:I45"/>
    <mergeCell ref="J46:J49"/>
    <mergeCell ref="L46:L49"/>
    <mergeCell ref="N46:N49"/>
    <mergeCell ref="P46:P49"/>
    <mergeCell ref="J42:J45"/>
    <mergeCell ref="L42:L45"/>
    <mergeCell ref="N42:N45"/>
    <mergeCell ref="P42:P45"/>
    <mergeCell ref="A44:A47"/>
    <mergeCell ref="B44:B47"/>
    <mergeCell ref="D44:D47"/>
    <mergeCell ref="F44:F47"/>
    <mergeCell ref="H44:H47"/>
    <mergeCell ref="I46:I49"/>
    <mergeCell ref="A36:A39"/>
    <mergeCell ref="B36:B39"/>
    <mergeCell ref="D36:D39"/>
  </mergeCells>
  <phoneticPr fontId="21"/>
  <printOptions horizontalCentered="1" verticalCentered="1"/>
  <pageMargins left="0" right="0" top="0" bottom="0" header="0.19685039370078741" footer="0.19685039370078741"/>
  <pageSetup paperSize="9" scale="65" orientation="landscape" horizontalDpi="4294967293"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370</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369</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368</v>
      </c>
      <c r="C9" s="96" t="s">
        <v>156</v>
      </c>
      <c r="D9" s="96" t="s">
        <v>157</v>
      </c>
      <c r="E9" s="55"/>
      <c r="F9" s="121"/>
      <c r="G9" s="136"/>
      <c r="H9" s="147">
        <v>0.7</v>
      </c>
      <c r="I9" s="127" t="s">
        <v>368</v>
      </c>
      <c r="J9" s="96" t="s">
        <v>156</v>
      </c>
      <c r="K9" s="146">
        <v>0.3</v>
      </c>
      <c r="L9" s="136" t="s">
        <v>367</v>
      </c>
      <c r="M9" s="96" t="s">
        <v>156</v>
      </c>
      <c r="N9" s="148">
        <v>0.2</v>
      </c>
      <c r="O9" s="111" t="s">
        <v>157</v>
      </c>
    </row>
    <row r="10" spans="1:21" ht="20.100000000000001" customHeight="1" x14ac:dyDescent="0.15">
      <c r="A10" s="379"/>
      <c r="B10" s="96"/>
      <c r="C10" s="96" t="s">
        <v>88</v>
      </c>
      <c r="D10" s="96" t="s">
        <v>31</v>
      </c>
      <c r="E10" s="55"/>
      <c r="F10" s="121"/>
      <c r="G10" s="136"/>
      <c r="H10" s="115">
        <v>20</v>
      </c>
      <c r="I10" s="127"/>
      <c r="J10" s="96" t="s">
        <v>88</v>
      </c>
      <c r="K10" s="141">
        <v>10</v>
      </c>
      <c r="L10" s="136"/>
      <c r="M10" s="96" t="s">
        <v>88</v>
      </c>
      <c r="N10" s="115">
        <v>10</v>
      </c>
      <c r="O10" s="111" t="s">
        <v>31</v>
      </c>
    </row>
    <row r="11" spans="1:21" ht="20.100000000000001" customHeight="1" x14ac:dyDescent="0.15">
      <c r="A11" s="379"/>
      <c r="B11" s="96"/>
      <c r="C11" s="96" t="s">
        <v>61</v>
      </c>
      <c r="D11" s="96"/>
      <c r="E11" s="55"/>
      <c r="F11" s="121"/>
      <c r="G11" s="136"/>
      <c r="H11" s="115">
        <v>5</v>
      </c>
      <c r="I11" s="127"/>
      <c r="J11" s="96" t="s">
        <v>61</v>
      </c>
      <c r="K11" s="141">
        <v>5</v>
      </c>
      <c r="L11" s="136"/>
      <c r="M11" s="96" t="s">
        <v>61</v>
      </c>
      <c r="N11" s="115">
        <v>5</v>
      </c>
      <c r="O11" s="111"/>
    </row>
    <row r="12" spans="1:21" ht="20.100000000000001" customHeight="1" x14ac:dyDescent="0.15">
      <c r="A12" s="379"/>
      <c r="B12" s="96"/>
      <c r="C12" s="96"/>
      <c r="D12" s="96"/>
      <c r="E12" s="55"/>
      <c r="F12" s="121"/>
      <c r="G12" s="136" t="s">
        <v>23</v>
      </c>
      <c r="H12" s="115" t="s">
        <v>292</v>
      </c>
      <c r="I12" s="127"/>
      <c r="J12" s="96"/>
      <c r="K12" s="141"/>
      <c r="L12" s="135"/>
      <c r="M12" s="97"/>
      <c r="N12" s="114"/>
      <c r="O12" s="110"/>
    </row>
    <row r="13" spans="1:21" ht="20.100000000000001" customHeight="1" x14ac:dyDescent="0.15">
      <c r="A13" s="379"/>
      <c r="B13" s="96"/>
      <c r="C13" s="96"/>
      <c r="D13" s="96"/>
      <c r="E13" s="55"/>
      <c r="F13" s="121" t="s">
        <v>26</v>
      </c>
      <c r="G13" s="136" t="s">
        <v>25</v>
      </c>
      <c r="H13" s="115" t="s">
        <v>294</v>
      </c>
      <c r="I13" s="127"/>
      <c r="J13" s="96"/>
      <c r="K13" s="141"/>
      <c r="L13" s="136" t="s">
        <v>366</v>
      </c>
      <c r="M13" s="96" t="s">
        <v>28</v>
      </c>
      <c r="N13" s="115">
        <v>10</v>
      </c>
      <c r="O13" s="111"/>
    </row>
    <row r="14" spans="1:21" ht="20.100000000000001" customHeight="1" x14ac:dyDescent="0.15">
      <c r="A14" s="379"/>
      <c r="B14" s="97"/>
      <c r="C14" s="97"/>
      <c r="D14" s="97"/>
      <c r="E14" s="49"/>
      <c r="F14" s="120"/>
      <c r="G14" s="135"/>
      <c r="H14" s="114"/>
      <c r="I14" s="126"/>
      <c r="J14" s="97"/>
      <c r="K14" s="139"/>
      <c r="L14" s="136"/>
      <c r="M14" s="96" t="s">
        <v>144</v>
      </c>
      <c r="N14" s="115">
        <v>10</v>
      </c>
      <c r="O14" s="111"/>
    </row>
    <row r="15" spans="1:21" ht="20.100000000000001" customHeight="1" x14ac:dyDescent="0.15">
      <c r="A15" s="379"/>
      <c r="B15" s="96" t="s">
        <v>365</v>
      </c>
      <c r="C15" s="96" t="s">
        <v>75</v>
      </c>
      <c r="D15" s="96" t="s">
        <v>55</v>
      </c>
      <c r="E15" s="55"/>
      <c r="F15" s="121"/>
      <c r="G15" s="136"/>
      <c r="H15" s="115">
        <v>10</v>
      </c>
      <c r="I15" s="127" t="s">
        <v>365</v>
      </c>
      <c r="J15" s="98" t="s">
        <v>167</v>
      </c>
      <c r="K15" s="141">
        <v>5</v>
      </c>
      <c r="L15" s="135"/>
      <c r="M15" s="97"/>
      <c r="N15" s="114"/>
      <c r="O15" s="110"/>
    </row>
    <row r="16" spans="1:21" ht="20.100000000000001" customHeight="1" x14ac:dyDescent="0.15">
      <c r="A16" s="379"/>
      <c r="B16" s="96"/>
      <c r="C16" s="96" t="s">
        <v>28</v>
      </c>
      <c r="D16" s="96"/>
      <c r="E16" s="55"/>
      <c r="F16" s="121"/>
      <c r="G16" s="136"/>
      <c r="H16" s="115">
        <v>10</v>
      </c>
      <c r="I16" s="127"/>
      <c r="J16" s="96" t="s">
        <v>28</v>
      </c>
      <c r="K16" s="141">
        <v>10</v>
      </c>
      <c r="L16" s="136" t="s">
        <v>91</v>
      </c>
      <c r="M16" s="96" t="s">
        <v>93</v>
      </c>
      <c r="N16" s="116">
        <v>0.1</v>
      </c>
      <c r="O16" s="111"/>
    </row>
    <row r="17" spans="1:15" ht="20.100000000000001" customHeight="1" x14ac:dyDescent="0.15">
      <c r="A17" s="379"/>
      <c r="B17" s="96"/>
      <c r="C17" s="96" t="s">
        <v>136</v>
      </c>
      <c r="D17" s="96"/>
      <c r="E17" s="55"/>
      <c r="F17" s="121"/>
      <c r="G17" s="136"/>
      <c r="H17" s="115">
        <v>5</v>
      </c>
      <c r="I17" s="127"/>
      <c r="J17" s="96" t="s">
        <v>136</v>
      </c>
      <c r="K17" s="141">
        <v>5</v>
      </c>
      <c r="L17" s="136"/>
      <c r="M17" s="96"/>
      <c r="N17" s="115"/>
      <c r="O17" s="111"/>
    </row>
    <row r="18" spans="1:15" ht="20.100000000000001" customHeight="1" x14ac:dyDescent="0.15">
      <c r="A18" s="379"/>
      <c r="B18" s="96"/>
      <c r="C18" s="96"/>
      <c r="D18" s="96"/>
      <c r="E18" s="55"/>
      <c r="F18" s="121"/>
      <c r="G18" s="136" t="s">
        <v>23</v>
      </c>
      <c r="H18" s="115" t="s">
        <v>292</v>
      </c>
      <c r="I18" s="127"/>
      <c r="J18" s="96"/>
      <c r="K18" s="141"/>
      <c r="L18" s="136"/>
      <c r="M18" s="96"/>
      <c r="N18" s="115"/>
      <c r="O18" s="111"/>
    </row>
    <row r="19" spans="1:15" ht="20.100000000000001" customHeight="1" x14ac:dyDescent="0.15">
      <c r="A19" s="379"/>
      <c r="B19" s="96"/>
      <c r="C19" s="96"/>
      <c r="D19" s="96"/>
      <c r="E19" s="55"/>
      <c r="F19" s="122"/>
      <c r="G19" s="136" t="s">
        <v>24</v>
      </c>
      <c r="H19" s="115" t="s">
        <v>294</v>
      </c>
      <c r="I19" s="127"/>
      <c r="J19" s="96"/>
      <c r="K19" s="141"/>
      <c r="L19" s="136"/>
      <c r="M19" s="96"/>
      <c r="N19" s="115"/>
      <c r="O19" s="111"/>
    </row>
    <row r="20" spans="1:15" ht="20.100000000000001" customHeight="1" x14ac:dyDescent="0.15">
      <c r="A20" s="379"/>
      <c r="B20" s="96"/>
      <c r="C20" s="96"/>
      <c r="D20" s="96"/>
      <c r="E20" s="55"/>
      <c r="F20" s="121" t="s">
        <v>26</v>
      </c>
      <c r="G20" s="136" t="s">
        <v>25</v>
      </c>
      <c r="H20" s="115" t="s">
        <v>294</v>
      </c>
      <c r="I20" s="127"/>
      <c r="J20" s="96"/>
      <c r="K20" s="141"/>
      <c r="L20" s="136"/>
      <c r="M20" s="96"/>
      <c r="N20" s="115"/>
      <c r="O20" s="111"/>
    </row>
    <row r="21" spans="1:15" ht="20.100000000000001" customHeight="1" x14ac:dyDescent="0.15">
      <c r="A21" s="379"/>
      <c r="B21" s="97"/>
      <c r="C21" s="97"/>
      <c r="D21" s="97"/>
      <c r="E21" s="49"/>
      <c r="F21" s="120"/>
      <c r="G21" s="135"/>
      <c r="H21" s="114"/>
      <c r="I21" s="126"/>
      <c r="J21" s="97"/>
      <c r="K21" s="139"/>
      <c r="L21" s="136"/>
      <c r="M21" s="96"/>
      <c r="N21" s="115"/>
      <c r="O21" s="111"/>
    </row>
    <row r="22" spans="1:15" ht="20.100000000000001" customHeight="1" x14ac:dyDescent="0.15">
      <c r="A22" s="379"/>
      <c r="B22" s="96" t="s">
        <v>63</v>
      </c>
      <c r="C22" s="96" t="s">
        <v>144</v>
      </c>
      <c r="D22" s="96"/>
      <c r="E22" s="55"/>
      <c r="F22" s="121"/>
      <c r="G22" s="136"/>
      <c r="H22" s="115">
        <v>10</v>
      </c>
      <c r="I22" s="127" t="s">
        <v>63</v>
      </c>
      <c r="J22" s="96" t="s">
        <v>144</v>
      </c>
      <c r="K22" s="141">
        <v>10</v>
      </c>
      <c r="L22" s="136"/>
      <c r="M22" s="96"/>
      <c r="N22" s="115"/>
      <c r="O22" s="111"/>
    </row>
    <row r="23" spans="1:15" ht="20.100000000000001" customHeight="1" x14ac:dyDescent="0.15">
      <c r="A23" s="379"/>
      <c r="B23" s="96"/>
      <c r="C23" s="96"/>
      <c r="D23" s="96"/>
      <c r="E23" s="55"/>
      <c r="F23" s="121"/>
      <c r="G23" s="136" t="s">
        <v>23</v>
      </c>
      <c r="H23" s="115" t="s">
        <v>292</v>
      </c>
      <c r="I23" s="127"/>
      <c r="J23" s="96"/>
      <c r="K23" s="141"/>
      <c r="L23" s="136"/>
      <c r="M23" s="96"/>
      <c r="N23" s="115"/>
      <c r="O23" s="111"/>
    </row>
    <row r="24" spans="1:15" ht="20.100000000000001" customHeight="1" x14ac:dyDescent="0.15">
      <c r="A24" s="379"/>
      <c r="B24" s="96"/>
      <c r="C24" s="96"/>
      <c r="D24" s="96"/>
      <c r="E24" s="55"/>
      <c r="F24" s="121"/>
      <c r="G24" s="136" t="s">
        <v>66</v>
      </c>
      <c r="H24" s="115" t="s">
        <v>294</v>
      </c>
      <c r="I24" s="127"/>
      <c r="J24" s="96"/>
      <c r="K24" s="141"/>
      <c r="L24" s="136"/>
      <c r="M24" s="96"/>
      <c r="N24" s="115"/>
      <c r="O24" s="111"/>
    </row>
    <row r="25" spans="1:15" ht="20.100000000000001" customHeight="1" x14ac:dyDescent="0.15">
      <c r="A25" s="379"/>
      <c r="B25" s="97"/>
      <c r="C25" s="97"/>
      <c r="D25" s="97"/>
      <c r="E25" s="49"/>
      <c r="F25" s="120"/>
      <c r="G25" s="135"/>
      <c r="H25" s="114"/>
      <c r="I25" s="126"/>
      <c r="J25" s="97"/>
      <c r="K25" s="139"/>
      <c r="L25" s="136"/>
      <c r="M25" s="96"/>
      <c r="N25" s="115"/>
      <c r="O25" s="111"/>
    </row>
    <row r="26" spans="1:15" ht="20.100000000000001" customHeight="1" x14ac:dyDescent="0.15">
      <c r="A26" s="379"/>
      <c r="B26" s="96" t="s">
        <v>91</v>
      </c>
      <c r="C26" s="96" t="s">
        <v>93</v>
      </c>
      <c r="D26" s="96"/>
      <c r="E26" s="55"/>
      <c r="F26" s="121"/>
      <c r="G26" s="136"/>
      <c r="H26" s="144">
        <v>0.13</v>
      </c>
      <c r="I26" s="127" t="s">
        <v>91</v>
      </c>
      <c r="J26" s="96" t="s">
        <v>93</v>
      </c>
      <c r="K26" s="143">
        <v>0.13</v>
      </c>
      <c r="L26" s="136"/>
      <c r="M26" s="96"/>
      <c r="N26" s="115"/>
      <c r="O26" s="111"/>
    </row>
    <row r="27" spans="1:15" ht="20.100000000000001" customHeight="1" thickBot="1" x14ac:dyDescent="0.2">
      <c r="A27" s="380"/>
      <c r="B27" s="95"/>
      <c r="C27" s="95"/>
      <c r="D27" s="95"/>
      <c r="E27" s="62"/>
      <c r="F27" s="123"/>
      <c r="G27" s="137"/>
      <c r="H27" s="117"/>
      <c r="I27" s="128"/>
      <c r="J27" s="95"/>
      <c r="K27" s="142"/>
      <c r="L27" s="137"/>
      <c r="M27" s="95"/>
      <c r="N27" s="117"/>
      <c r="O27" s="112"/>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3">
    <mergeCell ref="A7:A27"/>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8" ht="36.75" customHeight="1" x14ac:dyDescent="0.15">
      <c r="A1" s="1" t="s">
        <v>17</v>
      </c>
      <c r="B1" s="1"/>
      <c r="C1" s="2"/>
      <c r="D1" s="3"/>
      <c r="E1" s="2"/>
      <c r="F1" s="2"/>
      <c r="G1" s="2"/>
      <c r="H1" s="354"/>
      <c r="I1" s="354"/>
      <c r="J1" s="355"/>
      <c r="K1" s="355"/>
      <c r="L1" s="355"/>
      <c r="M1" s="355"/>
      <c r="N1" s="355"/>
      <c r="O1" s="355"/>
      <c r="P1" s="2"/>
      <c r="Q1" s="2"/>
      <c r="R1" s="4"/>
      <c r="S1" s="4"/>
      <c r="T1" s="3"/>
      <c r="U1" s="3"/>
    </row>
    <row r="2" spans="1:28"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8" ht="22.5" customHeight="1" x14ac:dyDescent="0.15">
      <c r="A3" s="5"/>
      <c r="B3" s="397" t="s">
        <v>282</v>
      </c>
      <c r="C3" s="397"/>
      <c r="D3" s="3"/>
      <c r="E3" s="6"/>
      <c r="F3" s="2"/>
      <c r="G3" s="2"/>
      <c r="H3" s="2"/>
      <c r="I3" s="3"/>
      <c r="J3" s="2"/>
      <c r="K3" s="7"/>
      <c r="L3" s="7"/>
      <c r="M3" s="7"/>
      <c r="N3" s="8"/>
      <c r="O3" s="2"/>
      <c r="P3" s="9"/>
      <c r="Q3" s="3"/>
      <c r="R3"/>
      <c r="S3"/>
      <c r="T3"/>
      <c r="U3"/>
      <c r="Y3" s="3"/>
      <c r="Z3" s="3"/>
      <c r="AA3" s="3"/>
      <c r="AB3" s="3"/>
    </row>
    <row r="4" spans="1:28" ht="22.5" customHeight="1" x14ac:dyDescent="0.15">
      <c r="A4" s="5"/>
      <c r="B4" s="397"/>
      <c r="C4" s="397"/>
      <c r="D4" s="10"/>
      <c r="E4" s="6"/>
      <c r="F4" s="2"/>
      <c r="G4" s="2"/>
      <c r="H4" s="2"/>
      <c r="I4" s="10"/>
      <c r="J4" s="2"/>
      <c r="K4" s="7"/>
      <c r="L4" s="7"/>
      <c r="M4" s="7"/>
      <c r="N4" s="8"/>
      <c r="O4" s="2"/>
      <c r="P4" s="9"/>
      <c r="Q4" s="3"/>
      <c r="R4"/>
      <c r="S4"/>
      <c r="T4"/>
      <c r="U4"/>
      <c r="Y4" s="3"/>
      <c r="Z4" s="3"/>
      <c r="AA4" s="3"/>
      <c r="AB4" s="3"/>
    </row>
    <row r="5" spans="1:28" ht="27.75" customHeight="1" thickBot="1" x14ac:dyDescent="0.3">
      <c r="A5" s="356" t="s">
        <v>276</v>
      </c>
      <c r="B5" s="357"/>
      <c r="C5" s="357"/>
      <c r="D5" s="357"/>
      <c r="E5" s="357"/>
      <c r="F5" s="357"/>
      <c r="G5" s="2"/>
      <c r="H5" s="2"/>
      <c r="I5" s="13"/>
      <c r="J5" s="2"/>
      <c r="K5" s="7"/>
      <c r="L5" s="7"/>
      <c r="M5" s="7"/>
      <c r="N5" s="11"/>
      <c r="O5" s="2"/>
      <c r="P5" s="14"/>
      <c r="Q5" s="13"/>
      <c r="R5" s="15"/>
      <c r="S5" s="15"/>
      <c r="T5" s="16"/>
      <c r="U5" s="12"/>
    </row>
    <row r="6" spans="1:28" customFormat="1" ht="42" customHeight="1" thickBot="1" x14ac:dyDescent="0.2">
      <c r="A6" s="17"/>
      <c r="B6" s="18" t="s">
        <v>3</v>
      </c>
      <c r="C6" s="19" t="s">
        <v>4</v>
      </c>
      <c r="D6" s="20" t="s">
        <v>5</v>
      </c>
      <c r="E6" s="37" t="s">
        <v>9</v>
      </c>
      <c r="F6" s="21" t="s">
        <v>7</v>
      </c>
      <c r="G6" s="19" t="s">
        <v>8</v>
      </c>
      <c r="H6" s="18" t="s">
        <v>4</v>
      </c>
      <c r="I6" s="20" t="s">
        <v>5</v>
      </c>
      <c r="J6" s="38" t="s">
        <v>6</v>
      </c>
      <c r="K6" s="21" t="s">
        <v>7</v>
      </c>
      <c r="L6" s="21" t="s">
        <v>8</v>
      </c>
      <c r="M6" s="21" t="s">
        <v>10</v>
      </c>
      <c r="N6" s="23" t="s">
        <v>11</v>
      </c>
      <c r="O6" s="24" t="s">
        <v>12</v>
      </c>
      <c r="P6" s="21" t="s">
        <v>13</v>
      </c>
      <c r="Q6" s="25" t="s">
        <v>5</v>
      </c>
      <c r="R6" s="22" t="s">
        <v>15</v>
      </c>
      <c r="S6" s="26" t="s">
        <v>14</v>
      </c>
      <c r="T6" s="27" t="s">
        <v>16</v>
      </c>
      <c r="U6" s="28"/>
    </row>
    <row r="7" spans="1:28" ht="18.75" customHeight="1" x14ac:dyDescent="0.15">
      <c r="A7" s="358" t="s">
        <v>51</v>
      </c>
      <c r="B7" s="73" t="s">
        <v>223</v>
      </c>
      <c r="C7" s="42" t="s">
        <v>108</v>
      </c>
      <c r="D7" s="43"/>
      <c r="E7" s="44">
        <v>20</v>
      </c>
      <c r="F7" s="45" t="s">
        <v>29</v>
      </c>
      <c r="G7" s="77" t="s">
        <v>55</v>
      </c>
      <c r="H7" s="81" t="s">
        <v>108</v>
      </c>
      <c r="I7" s="43"/>
      <c r="J7" s="45">
        <f t="shared" ref="J7:J14" si="0">ROUNDUP(E7*0.75,2)</f>
        <v>15</v>
      </c>
      <c r="K7" s="45" t="s">
        <v>29</v>
      </c>
      <c r="L7" s="45" t="s">
        <v>55</v>
      </c>
      <c r="M7" s="45"/>
      <c r="N7" s="85">
        <f>M7</f>
        <v>0</v>
      </c>
      <c r="O7" s="73" t="s">
        <v>224</v>
      </c>
      <c r="P7" s="46" t="s">
        <v>18</v>
      </c>
      <c r="Q7" s="43"/>
      <c r="R7" s="47">
        <v>110</v>
      </c>
      <c r="S7" s="44">
        <f t="shared" ref="S7:S13" si="1">ROUNDUP(R7*0.75,2)</f>
        <v>82.5</v>
      </c>
      <c r="T7" s="69" t="e">
        <f>ROUNDUP((#REF!*R7)+(#REF!*S7)+(#REF!*(R7*2)),2)</f>
        <v>#REF!</v>
      </c>
    </row>
    <row r="8" spans="1:28" ht="18.75" customHeight="1" x14ac:dyDescent="0.15">
      <c r="A8" s="359"/>
      <c r="B8" s="75"/>
      <c r="C8" s="54" t="s">
        <v>33</v>
      </c>
      <c r="D8" s="55"/>
      <c r="E8" s="56">
        <v>30</v>
      </c>
      <c r="F8" s="57" t="s">
        <v>29</v>
      </c>
      <c r="G8" s="79"/>
      <c r="H8" s="83" t="s">
        <v>33</v>
      </c>
      <c r="I8" s="55"/>
      <c r="J8" s="57">
        <f t="shared" si="0"/>
        <v>22.5</v>
      </c>
      <c r="K8" s="57" t="s">
        <v>29</v>
      </c>
      <c r="L8" s="57"/>
      <c r="M8" s="57"/>
      <c r="N8" s="87">
        <f>ROUND(M8+(M8*6/100),2)</f>
        <v>0</v>
      </c>
      <c r="O8" s="75" t="s">
        <v>289</v>
      </c>
      <c r="P8" s="58" t="s">
        <v>37</v>
      </c>
      <c r="Q8" s="55"/>
      <c r="R8" s="59">
        <v>0.5</v>
      </c>
      <c r="S8" s="56">
        <f t="shared" si="1"/>
        <v>0.38</v>
      </c>
      <c r="T8" s="71" t="e">
        <f>ROUNDUP((#REF!*R8)+(#REF!*S8)+(#REF!*(R8*2)),2)</f>
        <v>#REF!</v>
      </c>
    </row>
    <row r="9" spans="1:28" ht="18.75" customHeight="1" x14ac:dyDescent="0.15">
      <c r="A9" s="359"/>
      <c r="B9" s="75"/>
      <c r="C9" s="54" t="s">
        <v>98</v>
      </c>
      <c r="D9" s="55"/>
      <c r="E9" s="56">
        <v>40</v>
      </c>
      <c r="F9" s="57" t="s">
        <v>29</v>
      </c>
      <c r="G9" s="79"/>
      <c r="H9" s="83" t="s">
        <v>98</v>
      </c>
      <c r="I9" s="55"/>
      <c r="J9" s="57">
        <f t="shared" si="0"/>
        <v>30</v>
      </c>
      <c r="K9" s="57" t="s">
        <v>29</v>
      </c>
      <c r="L9" s="57"/>
      <c r="M9" s="57"/>
      <c r="N9" s="87">
        <f>ROUND(M9+(M9*10/100),2)</f>
        <v>0</v>
      </c>
      <c r="O9" s="75" t="s">
        <v>285</v>
      </c>
      <c r="P9" s="58" t="s">
        <v>22</v>
      </c>
      <c r="Q9" s="55"/>
      <c r="R9" s="59">
        <v>1</v>
      </c>
      <c r="S9" s="56">
        <f t="shared" si="1"/>
        <v>0.75</v>
      </c>
      <c r="T9" s="71" t="e">
        <f>ROUNDUP((#REF!*R9)+(#REF!*S9)+(#REF!*(R9*2)),2)</f>
        <v>#REF!</v>
      </c>
    </row>
    <row r="10" spans="1:28" ht="18.75" customHeight="1" x14ac:dyDescent="0.15">
      <c r="A10" s="359"/>
      <c r="B10" s="75"/>
      <c r="C10" s="54" t="s">
        <v>61</v>
      </c>
      <c r="D10" s="55"/>
      <c r="E10" s="56">
        <v>10</v>
      </c>
      <c r="F10" s="57" t="s">
        <v>29</v>
      </c>
      <c r="G10" s="79"/>
      <c r="H10" s="83" t="s">
        <v>61</v>
      </c>
      <c r="I10" s="55"/>
      <c r="J10" s="57">
        <f t="shared" si="0"/>
        <v>7.5</v>
      </c>
      <c r="K10" s="57" t="s">
        <v>29</v>
      </c>
      <c r="L10" s="57"/>
      <c r="M10" s="57"/>
      <c r="N10" s="87">
        <f>ROUND(M10+(M10*3/100),2)</f>
        <v>0</v>
      </c>
      <c r="O10" s="75" t="s">
        <v>272</v>
      </c>
      <c r="P10" s="58" t="s">
        <v>50</v>
      </c>
      <c r="Q10" s="55"/>
      <c r="R10" s="59">
        <v>40</v>
      </c>
      <c r="S10" s="56">
        <f t="shared" si="1"/>
        <v>30</v>
      </c>
      <c r="T10" s="71" t="e">
        <f>ROUNDUP((#REF!*R10)+(#REF!*S10)+(#REF!*(R10*2)),2)</f>
        <v>#REF!</v>
      </c>
    </row>
    <row r="11" spans="1:28" ht="18.75" customHeight="1" x14ac:dyDescent="0.15">
      <c r="A11" s="359"/>
      <c r="B11" s="75"/>
      <c r="C11" s="54" t="s">
        <v>225</v>
      </c>
      <c r="D11" s="55" t="s">
        <v>26</v>
      </c>
      <c r="E11" s="56">
        <v>9</v>
      </c>
      <c r="F11" s="57" t="s">
        <v>29</v>
      </c>
      <c r="G11" s="79"/>
      <c r="H11" s="83" t="s">
        <v>225</v>
      </c>
      <c r="I11" s="55" t="s">
        <v>26</v>
      </c>
      <c r="J11" s="57">
        <f t="shared" si="0"/>
        <v>6.75</v>
      </c>
      <c r="K11" s="57" t="s">
        <v>29</v>
      </c>
      <c r="L11" s="57"/>
      <c r="M11" s="57"/>
      <c r="N11" s="87">
        <f>M11</f>
        <v>0</v>
      </c>
      <c r="O11" s="75" t="s">
        <v>284</v>
      </c>
      <c r="P11" s="58" t="s">
        <v>24</v>
      </c>
      <c r="Q11" s="55"/>
      <c r="R11" s="59">
        <v>0.5</v>
      </c>
      <c r="S11" s="56">
        <f t="shared" si="1"/>
        <v>0.38</v>
      </c>
      <c r="T11" s="71" t="e">
        <f>ROUNDUP((#REF!*R11)+(#REF!*S11)+(#REF!*(R11*2)),2)</f>
        <v>#REF!</v>
      </c>
    </row>
    <row r="12" spans="1:28" ht="18.75" customHeight="1" x14ac:dyDescent="0.15">
      <c r="A12" s="359"/>
      <c r="B12" s="75"/>
      <c r="C12" s="54" t="s">
        <v>52</v>
      </c>
      <c r="D12" s="55" t="s">
        <v>49</v>
      </c>
      <c r="E12" s="56">
        <v>30</v>
      </c>
      <c r="F12" s="57" t="s">
        <v>53</v>
      </c>
      <c r="G12" s="79" t="s">
        <v>39</v>
      </c>
      <c r="H12" s="83" t="s">
        <v>52</v>
      </c>
      <c r="I12" s="55" t="s">
        <v>49</v>
      </c>
      <c r="J12" s="57">
        <f t="shared" si="0"/>
        <v>22.5</v>
      </c>
      <c r="K12" s="57" t="s">
        <v>53</v>
      </c>
      <c r="L12" s="57" t="s">
        <v>39</v>
      </c>
      <c r="M12" s="57"/>
      <c r="N12" s="87">
        <f>M12</f>
        <v>0</v>
      </c>
      <c r="O12" s="75" t="s">
        <v>283</v>
      </c>
      <c r="P12" s="58" t="s">
        <v>77</v>
      </c>
      <c r="Q12" s="55"/>
      <c r="R12" s="59">
        <v>2</v>
      </c>
      <c r="S12" s="56">
        <f t="shared" si="1"/>
        <v>1.5</v>
      </c>
      <c r="T12" s="71" t="e">
        <f>ROUNDUP((#REF!*R12)+(#REF!*S12)+(#REF!*(R12*2)),2)</f>
        <v>#REF!</v>
      </c>
    </row>
    <row r="13" spans="1:28" ht="18.75" customHeight="1" x14ac:dyDescent="0.15">
      <c r="A13" s="359"/>
      <c r="B13" s="75"/>
      <c r="C13" s="54" t="s">
        <v>35</v>
      </c>
      <c r="D13" s="55" t="s">
        <v>36</v>
      </c>
      <c r="E13" s="60">
        <v>0.5</v>
      </c>
      <c r="F13" s="57" t="s">
        <v>32</v>
      </c>
      <c r="G13" s="79"/>
      <c r="H13" s="83" t="s">
        <v>35</v>
      </c>
      <c r="I13" s="55" t="s">
        <v>36</v>
      </c>
      <c r="J13" s="57">
        <f t="shared" si="0"/>
        <v>0.38</v>
      </c>
      <c r="K13" s="57" t="s">
        <v>32</v>
      </c>
      <c r="L13" s="57"/>
      <c r="M13" s="57"/>
      <c r="N13" s="87">
        <f>M13</f>
        <v>0</v>
      </c>
      <c r="O13" s="75" t="s">
        <v>277</v>
      </c>
      <c r="P13" s="58" t="s">
        <v>77</v>
      </c>
      <c r="Q13" s="55"/>
      <c r="R13" s="59">
        <v>2</v>
      </c>
      <c r="S13" s="56">
        <f t="shared" si="1"/>
        <v>1.5</v>
      </c>
      <c r="T13" s="71" t="e">
        <f>ROUNDUP((#REF!*R13)+(#REF!*S13)+(#REF!*(R13*2)),2)</f>
        <v>#REF!</v>
      </c>
    </row>
    <row r="14" spans="1:28" ht="18.75" customHeight="1" x14ac:dyDescent="0.15">
      <c r="A14" s="359"/>
      <c r="B14" s="75"/>
      <c r="C14" s="54" t="s">
        <v>173</v>
      </c>
      <c r="D14" s="55"/>
      <c r="E14" s="56">
        <v>3</v>
      </c>
      <c r="F14" s="57" t="s">
        <v>29</v>
      </c>
      <c r="G14" s="79" t="s">
        <v>138</v>
      </c>
      <c r="H14" s="83" t="s">
        <v>173</v>
      </c>
      <c r="I14" s="55"/>
      <c r="J14" s="57">
        <f t="shared" si="0"/>
        <v>2.25</v>
      </c>
      <c r="K14" s="57" t="s">
        <v>29</v>
      </c>
      <c r="L14" s="57" t="s">
        <v>138</v>
      </c>
      <c r="M14" s="57"/>
      <c r="N14" s="87">
        <f>M14</f>
        <v>0</v>
      </c>
      <c r="O14" s="75" t="s">
        <v>278</v>
      </c>
      <c r="P14" s="58"/>
      <c r="Q14" s="55"/>
      <c r="R14" s="59"/>
      <c r="S14" s="56"/>
      <c r="T14" s="71"/>
    </row>
    <row r="15" spans="1:28" ht="18.75" customHeight="1" x14ac:dyDescent="0.15">
      <c r="A15" s="359"/>
      <c r="B15" s="74"/>
      <c r="C15" s="48"/>
      <c r="D15" s="49"/>
      <c r="E15" s="50"/>
      <c r="F15" s="51"/>
      <c r="G15" s="78"/>
      <c r="H15" s="82"/>
      <c r="I15" s="49"/>
      <c r="J15" s="51"/>
      <c r="K15" s="51"/>
      <c r="L15" s="51"/>
      <c r="M15" s="51"/>
      <c r="N15" s="86"/>
      <c r="O15" s="74" t="s">
        <v>19</v>
      </c>
      <c r="P15" s="52"/>
      <c r="Q15" s="49"/>
      <c r="R15" s="53"/>
      <c r="S15" s="50"/>
      <c r="T15" s="70"/>
    </row>
    <row r="16" spans="1:28" ht="18.75" customHeight="1" x14ac:dyDescent="0.15">
      <c r="A16" s="359"/>
      <c r="B16" s="75" t="s">
        <v>226</v>
      </c>
      <c r="C16" s="54" t="s">
        <v>83</v>
      </c>
      <c r="D16" s="55"/>
      <c r="E16" s="56">
        <v>30</v>
      </c>
      <c r="F16" s="57" t="s">
        <v>29</v>
      </c>
      <c r="G16" s="79"/>
      <c r="H16" s="83" t="s">
        <v>83</v>
      </c>
      <c r="I16" s="55"/>
      <c r="J16" s="57">
        <f>ROUNDUP(E16*0.75,2)</f>
        <v>22.5</v>
      </c>
      <c r="K16" s="57" t="s">
        <v>29</v>
      </c>
      <c r="L16" s="57"/>
      <c r="M16" s="57"/>
      <c r="N16" s="87">
        <f>ROUND(M16+(M16*15/100),2)</f>
        <v>0</v>
      </c>
      <c r="O16" s="75" t="s">
        <v>227</v>
      </c>
      <c r="P16" s="58" t="s">
        <v>24</v>
      </c>
      <c r="Q16" s="55"/>
      <c r="R16" s="59">
        <v>1</v>
      </c>
      <c r="S16" s="56">
        <f>ROUNDUP(R16*0.75,2)</f>
        <v>0.75</v>
      </c>
      <c r="T16" s="71" t="e">
        <f>ROUNDUP((#REF!*R16)+(#REF!*S16)+(#REF!*(R16*2)),2)</f>
        <v>#REF!</v>
      </c>
    </row>
    <row r="17" spans="1:20" ht="18.75" customHeight="1" x14ac:dyDescent="0.15">
      <c r="A17" s="359"/>
      <c r="B17" s="75"/>
      <c r="C17" s="54" t="s">
        <v>175</v>
      </c>
      <c r="D17" s="55"/>
      <c r="E17" s="56">
        <v>10</v>
      </c>
      <c r="F17" s="57" t="s">
        <v>29</v>
      </c>
      <c r="G17" s="79" t="s">
        <v>176</v>
      </c>
      <c r="H17" s="83" t="s">
        <v>175</v>
      </c>
      <c r="I17" s="55"/>
      <c r="J17" s="57">
        <f>ROUNDUP(E17*0.75,2)</f>
        <v>7.5</v>
      </c>
      <c r="K17" s="57" t="s">
        <v>29</v>
      </c>
      <c r="L17" s="57" t="s">
        <v>176</v>
      </c>
      <c r="M17" s="57"/>
      <c r="N17" s="87">
        <f>M17</f>
        <v>0</v>
      </c>
      <c r="O17" s="75" t="s">
        <v>228</v>
      </c>
      <c r="P17" s="58" t="s">
        <v>25</v>
      </c>
      <c r="Q17" s="55" t="s">
        <v>26</v>
      </c>
      <c r="R17" s="59">
        <v>0.5</v>
      </c>
      <c r="S17" s="56">
        <f>ROUNDUP(R17*0.75,2)</f>
        <v>0.38</v>
      </c>
      <c r="T17" s="71" t="e">
        <f>ROUNDUP((#REF!*R17)+(#REF!*S17)+(#REF!*(R17*2)),2)</f>
        <v>#REF!</v>
      </c>
    </row>
    <row r="18" spans="1:20" ht="18.75" customHeight="1" x14ac:dyDescent="0.15">
      <c r="A18" s="359"/>
      <c r="B18" s="75"/>
      <c r="C18" s="54" t="s">
        <v>168</v>
      </c>
      <c r="D18" s="55"/>
      <c r="E18" s="91">
        <v>0.125</v>
      </c>
      <c r="F18" s="57" t="s">
        <v>56</v>
      </c>
      <c r="G18" s="79" t="s">
        <v>55</v>
      </c>
      <c r="H18" s="83" t="s">
        <v>168</v>
      </c>
      <c r="I18" s="55"/>
      <c r="J18" s="57">
        <f>ROUNDUP(E18*0.75,2)</f>
        <v>9.9999999999999992E-2</v>
      </c>
      <c r="K18" s="57" t="s">
        <v>56</v>
      </c>
      <c r="L18" s="57" t="s">
        <v>55</v>
      </c>
      <c r="M18" s="57"/>
      <c r="N18" s="87">
        <f>M18</f>
        <v>0</v>
      </c>
      <c r="O18" s="75" t="s">
        <v>54</v>
      </c>
      <c r="P18" s="58" t="s">
        <v>57</v>
      </c>
      <c r="Q18" s="55"/>
      <c r="R18" s="59">
        <v>2</v>
      </c>
      <c r="S18" s="56">
        <f>ROUNDUP(R18*0.75,2)</f>
        <v>1.5</v>
      </c>
      <c r="T18" s="71" t="e">
        <f>ROUNDUP((#REF!*R18)+(#REF!*S18)+(#REF!*(R18*2)),2)</f>
        <v>#REF!</v>
      </c>
    </row>
    <row r="19" spans="1:20" ht="18.75" customHeight="1" x14ac:dyDescent="0.15">
      <c r="A19" s="359"/>
      <c r="B19" s="75"/>
      <c r="C19" s="54"/>
      <c r="D19" s="55"/>
      <c r="E19" s="56"/>
      <c r="F19" s="57"/>
      <c r="G19" s="79"/>
      <c r="H19" s="83"/>
      <c r="I19" s="55"/>
      <c r="J19" s="57"/>
      <c r="K19" s="57"/>
      <c r="L19" s="57"/>
      <c r="M19" s="57"/>
      <c r="N19" s="87"/>
      <c r="O19" s="75"/>
      <c r="P19" s="58" t="s">
        <v>22</v>
      </c>
      <c r="Q19" s="55"/>
      <c r="R19" s="59">
        <v>2</v>
      </c>
      <c r="S19" s="56">
        <f>ROUNDUP(R19*0.75,2)</f>
        <v>1.5</v>
      </c>
      <c r="T19" s="71" t="e">
        <f>ROUNDUP((#REF!*R19)+(#REF!*S19)+(#REF!*(R19*2)),2)</f>
        <v>#REF!</v>
      </c>
    </row>
    <row r="20" spans="1:20" ht="18.75" customHeight="1" x14ac:dyDescent="0.15">
      <c r="A20" s="359"/>
      <c r="B20" s="74"/>
      <c r="C20" s="48"/>
      <c r="D20" s="49"/>
      <c r="E20" s="50"/>
      <c r="F20" s="51"/>
      <c r="G20" s="78"/>
      <c r="H20" s="82"/>
      <c r="I20" s="49"/>
      <c r="J20" s="51"/>
      <c r="K20" s="51"/>
      <c r="L20" s="51"/>
      <c r="M20" s="51"/>
      <c r="N20" s="86"/>
      <c r="O20" s="74"/>
      <c r="P20" s="52"/>
      <c r="Q20" s="49"/>
      <c r="R20" s="53"/>
      <c r="S20" s="50"/>
      <c r="T20" s="70"/>
    </row>
    <row r="21" spans="1:20" ht="18.75" customHeight="1" x14ac:dyDescent="0.15">
      <c r="A21" s="359"/>
      <c r="B21" s="75" t="s">
        <v>142</v>
      </c>
      <c r="C21" s="54" t="s">
        <v>143</v>
      </c>
      <c r="D21" s="55"/>
      <c r="E21" s="91">
        <v>0.125</v>
      </c>
      <c r="F21" s="57" t="s">
        <v>32</v>
      </c>
      <c r="G21" s="79"/>
      <c r="H21" s="83" t="s">
        <v>143</v>
      </c>
      <c r="I21" s="55"/>
      <c r="J21" s="57">
        <f>ROUNDUP(E21*0.75,2)</f>
        <v>9.9999999999999992E-2</v>
      </c>
      <c r="K21" s="57" t="s">
        <v>32</v>
      </c>
      <c r="L21" s="57"/>
      <c r="M21" s="57"/>
      <c r="N21" s="87">
        <f>M21</f>
        <v>0</v>
      </c>
      <c r="O21" s="75" t="s">
        <v>92</v>
      </c>
      <c r="P21" s="58"/>
      <c r="Q21" s="55"/>
      <c r="R21" s="59"/>
      <c r="S21" s="56"/>
      <c r="T21" s="71"/>
    </row>
    <row r="22" spans="1:20" ht="18.75" customHeight="1" thickBot="1" x14ac:dyDescent="0.2">
      <c r="A22" s="360"/>
      <c r="B22" s="76"/>
      <c r="C22" s="61"/>
      <c r="D22" s="62"/>
      <c r="E22" s="63"/>
      <c r="F22" s="64"/>
      <c r="G22" s="80"/>
      <c r="H22" s="84"/>
      <c r="I22" s="62"/>
      <c r="J22" s="64"/>
      <c r="K22" s="64"/>
      <c r="L22" s="64"/>
      <c r="M22" s="64"/>
      <c r="N22" s="88"/>
      <c r="O22" s="76"/>
      <c r="P22" s="65"/>
      <c r="Q22" s="62"/>
      <c r="R22" s="66"/>
      <c r="S22" s="63"/>
      <c r="T22" s="72"/>
    </row>
    <row r="26" spans="1:20" ht="18.75" customHeight="1" x14ac:dyDescent="0.15">
      <c r="Q26" s="396" t="s">
        <v>290</v>
      </c>
      <c r="R26" s="396"/>
      <c r="S26" s="396"/>
      <c r="T26" s="396"/>
    </row>
  </sheetData>
  <mergeCells count="6">
    <mergeCell ref="Q26:T26"/>
    <mergeCell ref="H1:O1"/>
    <mergeCell ref="A2:T2"/>
    <mergeCell ref="A5:F5"/>
    <mergeCell ref="A7:A22"/>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276</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369</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375</v>
      </c>
      <c r="C9" s="96" t="s">
        <v>108</v>
      </c>
      <c r="D9" s="96" t="s">
        <v>55</v>
      </c>
      <c r="E9" s="55"/>
      <c r="F9" s="121"/>
      <c r="G9" s="136"/>
      <c r="H9" s="115">
        <v>15</v>
      </c>
      <c r="I9" s="127" t="s">
        <v>374</v>
      </c>
      <c r="J9" s="98" t="s">
        <v>167</v>
      </c>
      <c r="K9" s="141">
        <v>10</v>
      </c>
      <c r="L9" s="136" t="s">
        <v>373</v>
      </c>
      <c r="M9" s="96" t="s">
        <v>33</v>
      </c>
      <c r="N9" s="115">
        <v>5</v>
      </c>
      <c r="O9" s="111"/>
    </row>
    <row r="10" spans="1:21" ht="20.100000000000001" customHeight="1" x14ac:dyDescent="0.15">
      <c r="A10" s="379"/>
      <c r="B10" s="96"/>
      <c r="C10" s="96" t="s">
        <v>33</v>
      </c>
      <c r="D10" s="96"/>
      <c r="E10" s="55"/>
      <c r="F10" s="121"/>
      <c r="G10" s="136"/>
      <c r="H10" s="115">
        <v>10</v>
      </c>
      <c r="I10" s="127"/>
      <c r="J10" s="96" t="s">
        <v>33</v>
      </c>
      <c r="K10" s="141">
        <v>10</v>
      </c>
      <c r="L10" s="136"/>
      <c r="M10" s="96" t="s">
        <v>61</v>
      </c>
      <c r="N10" s="115">
        <v>5</v>
      </c>
      <c r="O10" s="111"/>
    </row>
    <row r="11" spans="1:21" ht="20.100000000000001" customHeight="1" x14ac:dyDescent="0.15">
      <c r="A11" s="379"/>
      <c r="B11" s="96"/>
      <c r="C11" s="96" t="s">
        <v>98</v>
      </c>
      <c r="D11" s="96"/>
      <c r="E11" s="55"/>
      <c r="F11" s="121"/>
      <c r="G11" s="136"/>
      <c r="H11" s="115">
        <v>20</v>
      </c>
      <c r="I11" s="127"/>
      <c r="J11" s="96" t="s">
        <v>98</v>
      </c>
      <c r="K11" s="141">
        <v>10</v>
      </c>
      <c r="L11" s="136"/>
      <c r="M11" s="96" t="s">
        <v>98</v>
      </c>
      <c r="N11" s="115">
        <v>10</v>
      </c>
      <c r="O11" s="111"/>
    </row>
    <row r="12" spans="1:21" ht="20.100000000000001" customHeight="1" x14ac:dyDescent="0.15">
      <c r="A12" s="379"/>
      <c r="B12" s="96"/>
      <c r="C12" s="96" t="s">
        <v>61</v>
      </c>
      <c r="D12" s="96"/>
      <c r="E12" s="55"/>
      <c r="F12" s="121"/>
      <c r="G12" s="136"/>
      <c r="H12" s="115">
        <v>10</v>
      </c>
      <c r="I12" s="127"/>
      <c r="J12" s="96" t="s">
        <v>61</v>
      </c>
      <c r="K12" s="141">
        <v>5</v>
      </c>
      <c r="L12" s="135"/>
      <c r="M12" s="97"/>
      <c r="N12" s="114"/>
      <c r="O12" s="110"/>
    </row>
    <row r="13" spans="1:21" ht="20.100000000000001" customHeight="1" x14ac:dyDescent="0.15">
      <c r="A13" s="379"/>
      <c r="B13" s="96"/>
      <c r="C13" s="96" t="s">
        <v>52</v>
      </c>
      <c r="D13" s="96" t="s">
        <v>39</v>
      </c>
      <c r="E13" s="55" t="s">
        <v>49</v>
      </c>
      <c r="F13" s="121"/>
      <c r="G13" s="136"/>
      <c r="H13" s="115">
        <v>20</v>
      </c>
      <c r="I13" s="127"/>
      <c r="J13" s="96" t="s">
        <v>52</v>
      </c>
      <c r="K13" s="141">
        <v>15</v>
      </c>
      <c r="L13" s="136" t="s">
        <v>372</v>
      </c>
      <c r="M13" s="96" t="s">
        <v>83</v>
      </c>
      <c r="N13" s="115">
        <v>5</v>
      </c>
      <c r="O13" s="111"/>
    </row>
    <row r="14" spans="1:21" ht="20.100000000000001" customHeight="1" x14ac:dyDescent="0.15">
      <c r="A14" s="379"/>
      <c r="B14" s="96"/>
      <c r="C14" s="96"/>
      <c r="D14" s="96"/>
      <c r="E14" s="55"/>
      <c r="F14" s="121"/>
      <c r="G14" s="136" t="s">
        <v>50</v>
      </c>
      <c r="H14" s="115" t="s">
        <v>292</v>
      </c>
      <c r="I14" s="127"/>
      <c r="J14" s="96"/>
      <c r="K14" s="141"/>
      <c r="L14" s="136"/>
      <c r="M14" s="96" t="s">
        <v>175</v>
      </c>
      <c r="N14" s="115">
        <v>5</v>
      </c>
      <c r="O14" s="111" t="s">
        <v>176</v>
      </c>
    </row>
    <row r="15" spans="1:21" ht="20.100000000000001" customHeight="1" x14ac:dyDescent="0.15">
      <c r="A15" s="379"/>
      <c r="B15" s="96"/>
      <c r="C15" s="96"/>
      <c r="D15" s="96"/>
      <c r="E15" s="55"/>
      <c r="F15" s="121"/>
      <c r="G15" s="136" t="s">
        <v>43</v>
      </c>
      <c r="H15" s="115" t="s">
        <v>294</v>
      </c>
      <c r="I15" s="127"/>
      <c r="J15" s="96"/>
      <c r="K15" s="141"/>
      <c r="L15" s="135"/>
      <c r="M15" s="97"/>
      <c r="N15" s="114"/>
      <c r="O15" s="110"/>
    </row>
    <row r="16" spans="1:21" ht="20.100000000000001" customHeight="1" x14ac:dyDescent="0.15">
      <c r="A16" s="379"/>
      <c r="B16" s="97"/>
      <c r="C16" s="97"/>
      <c r="D16" s="97"/>
      <c r="E16" s="49"/>
      <c r="F16" s="120"/>
      <c r="G16" s="135"/>
      <c r="H16" s="114"/>
      <c r="I16" s="126"/>
      <c r="J16" s="97"/>
      <c r="K16" s="139"/>
      <c r="L16" s="136" t="s">
        <v>327</v>
      </c>
      <c r="M16" s="96" t="s">
        <v>143</v>
      </c>
      <c r="N16" s="118">
        <v>0.08</v>
      </c>
      <c r="O16" s="111"/>
    </row>
    <row r="17" spans="1:15" ht="20.100000000000001" customHeight="1" x14ac:dyDescent="0.15">
      <c r="A17" s="379"/>
      <c r="B17" s="96" t="s">
        <v>371</v>
      </c>
      <c r="C17" s="96" t="s">
        <v>83</v>
      </c>
      <c r="D17" s="96"/>
      <c r="E17" s="55"/>
      <c r="F17" s="121"/>
      <c r="G17" s="136"/>
      <c r="H17" s="115">
        <v>10</v>
      </c>
      <c r="I17" s="127" t="s">
        <v>371</v>
      </c>
      <c r="J17" s="96" t="s">
        <v>83</v>
      </c>
      <c r="K17" s="141">
        <v>10</v>
      </c>
      <c r="L17" s="136"/>
      <c r="M17" s="96"/>
      <c r="N17" s="115"/>
      <c r="O17" s="111"/>
    </row>
    <row r="18" spans="1:15" ht="20.100000000000001" customHeight="1" x14ac:dyDescent="0.15">
      <c r="A18" s="379"/>
      <c r="B18" s="96"/>
      <c r="C18" s="96" t="s">
        <v>175</v>
      </c>
      <c r="D18" s="96" t="s">
        <v>176</v>
      </c>
      <c r="E18" s="55"/>
      <c r="F18" s="121"/>
      <c r="G18" s="136"/>
      <c r="H18" s="115">
        <v>5</v>
      </c>
      <c r="I18" s="127"/>
      <c r="J18" s="96" t="s">
        <v>175</v>
      </c>
      <c r="K18" s="141">
        <v>5</v>
      </c>
      <c r="L18" s="136"/>
      <c r="M18" s="96"/>
      <c r="N18" s="115"/>
      <c r="O18" s="111"/>
    </row>
    <row r="19" spans="1:15" ht="20.100000000000001" customHeight="1" x14ac:dyDescent="0.15">
      <c r="A19" s="379"/>
      <c r="B19" s="96"/>
      <c r="C19" s="96" t="s">
        <v>35</v>
      </c>
      <c r="D19" s="96"/>
      <c r="E19" s="55" t="s">
        <v>36</v>
      </c>
      <c r="F19" s="122"/>
      <c r="G19" s="136"/>
      <c r="H19" s="144">
        <v>0.13</v>
      </c>
      <c r="I19" s="127"/>
      <c r="J19" s="96" t="s">
        <v>296</v>
      </c>
      <c r="K19" s="143">
        <v>0.13</v>
      </c>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142</v>
      </c>
      <c r="C21" s="96" t="s">
        <v>143</v>
      </c>
      <c r="D21" s="96"/>
      <c r="E21" s="55"/>
      <c r="F21" s="121"/>
      <c r="G21" s="136"/>
      <c r="H21" s="116">
        <v>0.1</v>
      </c>
      <c r="I21" s="127" t="s">
        <v>142</v>
      </c>
      <c r="J21" s="96" t="s">
        <v>143</v>
      </c>
      <c r="K21" s="140">
        <v>0.1</v>
      </c>
      <c r="L21" s="136"/>
      <c r="M21" s="96"/>
      <c r="N21" s="115"/>
      <c r="O21" s="111"/>
    </row>
    <row r="22" spans="1:15" ht="20.100000000000001" customHeight="1" thickBot="1" x14ac:dyDescent="0.2">
      <c r="A22" s="380"/>
      <c r="B22" s="95"/>
      <c r="C22" s="95"/>
      <c r="D22" s="95"/>
      <c r="E22" s="62"/>
      <c r="F22" s="123"/>
      <c r="G22" s="137"/>
      <c r="H22" s="117"/>
      <c r="I22" s="128"/>
      <c r="J22" s="95"/>
      <c r="K22" s="142"/>
      <c r="L22" s="137"/>
      <c r="M22" s="95"/>
      <c r="N22" s="117"/>
      <c r="O22" s="112"/>
    </row>
    <row r="23" spans="1:15" ht="14.25" x14ac:dyDescent="0.15">
      <c r="B23" s="94"/>
      <c r="C23" s="94"/>
      <c r="D23" s="94"/>
      <c r="G23" s="94"/>
      <c r="H23" s="93"/>
      <c r="I23" s="94"/>
      <c r="J23" s="94"/>
      <c r="K23" s="93"/>
      <c r="L23" s="94"/>
      <c r="M23" s="94"/>
      <c r="N23" s="93"/>
    </row>
    <row r="24" spans="1:15" ht="14.25" x14ac:dyDescent="0.15">
      <c r="B24" s="94"/>
      <c r="C24" s="94"/>
      <c r="D24" s="94"/>
      <c r="G24" s="94"/>
      <c r="H24" s="93"/>
      <c r="I24" s="94"/>
      <c r="J24" s="94"/>
      <c r="K24" s="93"/>
      <c r="L24" s="94"/>
      <c r="M24" s="94"/>
      <c r="N24" s="93"/>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2"/>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229</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t="e">
        <f>ROUNDUP((#REF!*R5)+(#REF!*S5)+(#REF!*(R5*2)),2)</f>
        <v>#REF!</v>
      </c>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230</v>
      </c>
      <c r="C7" s="54" t="s">
        <v>58</v>
      </c>
      <c r="D7" s="55"/>
      <c r="E7" s="68">
        <v>0.33333333333333331</v>
      </c>
      <c r="F7" s="57" t="s">
        <v>59</v>
      </c>
      <c r="G7" s="79" t="s">
        <v>39</v>
      </c>
      <c r="H7" s="83" t="s">
        <v>58</v>
      </c>
      <c r="I7" s="55"/>
      <c r="J7" s="57">
        <f>ROUNDUP(E7*0.75,2)</f>
        <v>0.25</v>
      </c>
      <c r="K7" s="57" t="s">
        <v>59</v>
      </c>
      <c r="L7" s="57" t="s">
        <v>39</v>
      </c>
      <c r="M7" s="57"/>
      <c r="N7" s="87">
        <f>M7</f>
        <v>0</v>
      </c>
      <c r="O7" s="75" t="s">
        <v>231</v>
      </c>
      <c r="P7" s="58" t="s">
        <v>37</v>
      </c>
      <c r="Q7" s="55"/>
      <c r="R7" s="59">
        <v>0.5</v>
      </c>
      <c r="S7" s="56">
        <f t="shared" ref="S7:S14" si="0">ROUNDUP(R7*0.75,2)</f>
        <v>0.38</v>
      </c>
      <c r="T7" s="71" t="e">
        <f>ROUNDUP((#REF!*R7)+(#REF!*S7)+(#REF!*(R7*2)),2)</f>
        <v>#REF!</v>
      </c>
    </row>
    <row r="8" spans="1:21" ht="18.75" customHeight="1" x14ac:dyDescent="0.15">
      <c r="A8" s="359"/>
      <c r="B8" s="75"/>
      <c r="C8" s="54" t="s">
        <v>108</v>
      </c>
      <c r="D8" s="55"/>
      <c r="E8" s="56">
        <v>20</v>
      </c>
      <c r="F8" s="57" t="s">
        <v>29</v>
      </c>
      <c r="G8" s="79" t="s">
        <v>55</v>
      </c>
      <c r="H8" s="83" t="s">
        <v>108</v>
      </c>
      <c r="I8" s="55"/>
      <c r="J8" s="57">
        <f>ROUNDUP(E8*0.75,2)</f>
        <v>15</v>
      </c>
      <c r="K8" s="57" t="s">
        <v>29</v>
      </c>
      <c r="L8" s="57" t="s">
        <v>55</v>
      </c>
      <c r="M8" s="57"/>
      <c r="N8" s="87">
        <f>M8</f>
        <v>0</v>
      </c>
      <c r="O8" s="75" t="s">
        <v>232</v>
      </c>
      <c r="P8" s="58" t="s">
        <v>62</v>
      </c>
      <c r="Q8" s="55"/>
      <c r="R8" s="59">
        <v>2</v>
      </c>
      <c r="S8" s="56">
        <f t="shared" si="0"/>
        <v>1.5</v>
      </c>
      <c r="T8" s="71" t="e">
        <f>ROUNDUP((#REF!*R8)+(#REF!*S8)+(#REF!*(R8*2)),2)</f>
        <v>#REF!</v>
      </c>
    </row>
    <row r="9" spans="1:21" ht="18.75" customHeight="1" x14ac:dyDescent="0.15">
      <c r="A9" s="359"/>
      <c r="B9" s="75"/>
      <c r="C9" s="54" t="s">
        <v>33</v>
      </c>
      <c r="D9" s="55"/>
      <c r="E9" s="56">
        <v>20</v>
      </c>
      <c r="F9" s="57" t="s">
        <v>29</v>
      </c>
      <c r="G9" s="79"/>
      <c r="H9" s="83" t="s">
        <v>33</v>
      </c>
      <c r="I9" s="55"/>
      <c r="J9" s="57">
        <f>ROUNDUP(E9*0.75,2)</f>
        <v>15</v>
      </c>
      <c r="K9" s="57" t="s">
        <v>29</v>
      </c>
      <c r="L9" s="57"/>
      <c r="M9" s="57"/>
      <c r="N9" s="87">
        <f>ROUND(M9+(M9*6/100),2)</f>
        <v>0</v>
      </c>
      <c r="O9" s="75" t="s">
        <v>233</v>
      </c>
      <c r="P9" s="58" t="s">
        <v>23</v>
      </c>
      <c r="Q9" s="55"/>
      <c r="R9" s="59">
        <v>15</v>
      </c>
      <c r="S9" s="56">
        <f t="shared" si="0"/>
        <v>11.25</v>
      </c>
      <c r="T9" s="71" t="e">
        <f>ROUNDUP((#REF!*R9)+(#REF!*S9)+(#REF!*(R9*2)),2)</f>
        <v>#REF!</v>
      </c>
    </row>
    <row r="10" spans="1:21" ht="18.75" customHeight="1" x14ac:dyDescent="0.15">
      <c r="A10" s="359"/>
      <c r="B10" s="75"/>
      <c r="C10" s="54" t="s">
        <v>235</v>
      </c>
      <c r="D10" s="55"/>
      <c r="E10" s="56">
        <v>5</v>
      </c>
      <c r="F10" s="57" t="s">
        <v>29</v>
      </c>
      <c r="G10" s="79"/>
      <c r="H10" s="83" t="s">
        <v>235</v>
      </c>
      <c r="I10" s="55"/>
      <c r="J10" s="57">
        <f>ROUNDUP(E10*0.75,2)</f>
        <v>3.75</v>
      </c>
      <c r="K10" s="57" t="s">
        <v>29</v>
      </c>
      <c r="L10" s="57"/>
      <c r="M10" s="57"/>
      <c r="N10" s="87">
        <f>M10</f>
        <v>0</v>
      </c>
      <c r="O10" s="75" t="s">
        <v>234</v>
      </c>
      <c r="P10" s="58" t="s">
        <v>24</v>
      </c>
      <c r="Q10" s="55"/>
      <c r="R10" s="59">
        <v>0.8</v>
      </c>
      <c r="S10" s="56">
        <f t="shared" si="0"/>
        <v>0.6</v>
      </c>
      <c r="T10" s="71" t="e">
        <f>ROUNDUP((#REF!*R10)+(#REF!*S10)+(#REF!*(R10*2)),2)</f>
        <v>#REF!</v>
      </c>
    </row>
    <row r="11" spans="1:21" ht="18.75" customHeight="1" x14ac:dyDescent="0.15">
      <c r="A11" s="359"/>
      <c r="B11" s="75"/>
      <c r="C11" s="54" t="s">
        <v>175</v>
      </c>
      <c r="D11" s="55"/>
      <c r="E11" s="56">
        <v>10</v>
      </c>
      <c r="F11" s="57" t="s">
        <v>29</v>
      </c>
      <c r="G11" s="79" t="s">
        <v>176</v>
      </c>
      <c r="H11" s="83" t="s">
        <v>175</v>
      </c>
      <c r="I11" s="55"/>
      <c r="J11" s="57">
        <f>ROUNDUP(E11*0.75,2)</f>
        <v>7.5</v>
      </c>
      <c r="K11" s="57" t="s">
        <v>29</v>
      </c>
      <c r="L11" s="57" t="s">
        <v>176</v>
      </c>
      <c r="M11" s="57"/>
      <c r="N11" s="87">
        <f>M11</f>
        <v>0</v>
      </c>
      <c r="O11" s="75" t="s">
        <v>19</v>
      </c>
      <c r="P11" s="58" t="s">
        <v>27</v>
      </c>
      <c r="Q11" s="55"/>
      <c r="R11" s="59">
        <v>2.5</v>
      </c>
      <c r="S11" s="56">
        <f t="shared" si="0"/>
        <v>1.8800000000000001</v>
      </c>
      <c r="T11" s="71" t="e">
        <f>ROUNDUP((#REF!*R11)+(#REF!*S11)+(#REF!*(R11*2)),2)</f>
        <v>#REF!</v>
      </c>
    </row>
    <row r="12" spans="1:21" ht="18.75" customHeight="1" x14ac:dyDescent="0.15">
      <c r="A12" s="359"/>
      <c r="B12" s="75"/>
      <c r="C12" s="54"/>
      <c r="D12" s="55"/>
      <c r="E12" s="56"/>
      <c r="F12" s="57"/>
      <c r="G12" s="79"/>
      <c r="H12" s="83"/>
      <c r="I12" s="55"/>
      <c r="J12" s="57"/>
      <c r="K12" s="57"/>
      <c r="L12" s="57"/>
      <c r="M12" s="57"/>
      <c r="N12" s="87"/>
      <c r="O12" s="75"/>
      <c r="P12" s="58" t="s">
        <v>25</v>
      </c>
      <c r="Q12" s="55" t="s">
        <v>26</v>
      </c>
      <c r="R12" s="59">
        <v>3</v>
      </c>
      <c r="S12" s="56">
        <f t="shared" si="0"/>
        <v>2.25</v>
      </c>
      <c r="T12" s="71" t="e">
        <f>ROUNDUP((#REF!*R12)+(#REF!*S12)+(#REF!*(R12*2)),2)</f>
        <v>#REF!</v>
      </c>
    </row>
    <row r="13" spans="1:21" ht="18.75" customHeight="1" x14ac:dyDescent="0.15">
      <c r="A13" s="359"/>
      <c r="B13" s="75"/>
      <c r="C13" s="54"/>
      <c r="D13" s="55"/>
      <c r="E13" s="56"/>
      <c r="F13" s="57"/>
      <c r="G13" s="79"/>
      <c r="H13" s="83"/>
      <c r="I13" s="55"/>
      <c r="J13" s="57"/>
      <c r="K13" s="57"/>
      <c r="L13" s="57"/>
      <c r="M13" s="57"/>
      <c r="N13" s="87"/>
      <c r="O13" s="75"/>
      <c r="P13" s="58" t="s">
        <v>43</v>
      </c>
      <c r="Q13" s="55"/>
      <c r="R13" s="59">
        <v>0.1</v>
      </c>
      <c r="S13" s="56">
        <f t="shared" si="0"/>
        <v>0.08</v>
      </c>
      <c r="T13" s="71" t="e">
        <f>ROUNDUP((#REF!*R13)+(#REF!*S13)+(#REF!*(R13*2)),2)</f>
        <v>#REF!</v>
      </c>
    </row>
    <row r="14" spans="1:21" ht="18.75" customHeight="1" x14ac:dyDescent="0.15">
      <c r="A14" s="359"/>
      <c r="B14" s="75"/>
      <c r="C14" s="54"/>
      <c r="D14" s="55"/>
      <c r="E14" s="56"/>
      <c r="F14" s="57"/>
      <c r="G14" s="79"/>
      <c r="H14" s="83"/>
      <c r="I14" s="55"/>
      <c r="J14" s="57"/>
      <c r="K14" s="57"/>
      <c r="L14" s="57"/>
      <c r="M14" s="57"/>
      <c r="N14" s="87"/>
      <c r="O14" s="75"/>
      <c r="P14" s="58" t="s">
        <v>21</v>
      </c>
      <c r="Q14" s="55"/>
      <c r="R14" s="59">
        <v>1</v>
      </c>
      <c r="S14" s="56">
        <f t="shared" si="0"/>
        <v>0.75</v>
      </c>
      <c r="T14" s="71" t="e">
        <f>ROUNDUP((#REF!*R14)+(#REF!*S14)+(#REF!*(R14*2)),2)</f>
        <v>#REF!</v>
      </c>
    </row>
    <row r="15" spans="1:21" ht="18.75" customHeight="1" x14ac:dyDescent="0.15">
      <c r="A15" s="359"/>
      <c r="B15" s="74"/>
      <c r="C15" s="48"/>
      <c r="D15" s="49"/>
      <c r="E15" s="50"/>
      <c r="F15" s="51"/>
      <c r="G15" s="78"/>
      <c r="H15" s="82"/>
      <c r="I15" s="49"/>
      <c r="J15" s="51"/>
      <c r="K15" s="51"/>
      <c r="L15" s="51"/>
      <c r="M15" s="51"/>
      <c r="N15" s="86"/>
      <c r="O15" s="74"/>
      <c r="P15" s="52"/>
      <c r="Q15" s="49"/>
      <c r="R15" s="53"/>
      <c r="S15" s="50"/>
      <c r="T15" s="70"/>
    </row>
    <row r="16" spans="1:21" ht="18.75" customHeight="1" x14ac:dyDescent="0.15">
      <c r="A16" s="359"/>
      <c r="B16" s="75" t="s">
        <v>112</v>
      </c>
      <c r="C16" s="54" t="s">
        <v>60</v>
      </c>
      <c r="D16" s="55"/>
      <c r="E16" s="56">
        <v>30</v>
      </c>
      <c r="F16" s="57" t="s">
        <v>29</v>
      </c>
      <c r="G16" s="79" t="s">
        <v>31</v>
      </c>
      <c r="H16" s="83" t="s">
        <v>60</v>
      </c>
      <c r="I16" s="55"/>
      <c r="J16" s="57">
        <f>ROUNDUP(E16*0.75,2)</f>
        <v>22.5</v>
      </c>
      <c r="K16" s="57" t="s">
        <v>29</v>
      </c>
      <c r="L16" s="57" t="s">
        <v>31</v>
      </c>
      <c r="M16" s="57"/>
      <c r="N16" s="87">
        <f>M16</f>
        <v>0</v>
      </c>
      <c r="O16" s="75" t="s">
        <v>113</v>
      </c>
      <c r="P16" s="58" t="s">
        <v>24</v>
      </c>
      <c r="Q16" s="55"/>
      <c r="R16" s="59">
        <v>1</v>
      </c>
      <c r="S16" s="56">
        <f>ROUNDUP(R16*0.75,2)</f>
        <v>0.75</v>
      </c>
      <c r="T16" s="71" t="e">
        <f>ROUNDUP((#REF!*R16)+(#REF!*S16)+(#REF!*(R16*2)),2)</f>
        <v>#REF!</v>
      </c>
    </row>
    <row r="17" spans="1:20" ht="18.75" customHeight="1" x14ac:dyDescent="0.15">
      <c r="A17" s="359"/>
      <c r="B17" s="75"/>
      <c r="C17" s="54" t="s">
        <v>236</v>
      </c>
      <c r="D17" s="55"/>
      <c r="E17" s="56">
        <v>5</v>
      </c>
      <c r="F17" s="57" t="s">
        <v>29</v>
      </c>
      <c r="G17" s="79" t="s">
        <v>31</v>
      </c>
      <c r="H17" s="83" t="s">
        <v>236</v>
      </c>
      <c r="I17" s="55"/>
      <c r="J17" s="57">
        <f>ROUNDUP(E17*0.75,2)</f>
        <v>3.75</v>
      </c>
      <c r="K17" s="57" t="s">
        <v>29</v>
      </c>
      <c r="L17" s="57" t="s">
        <v>31</v>
      </c>
      <c r="M17" s="57"/>
      <c r="N17" s="87">
        <f>M17</f>
        <v>0</v>
      </c>
      <c r="O17" s="75" t="s">
        <v>114</v>
      </c>
      <c r="P17" s="58" t="s">
        <v>43</v>
      </c>
      <c r="Q17" s="55"/>
      <c r="R17" s="59">
        <v>0.1</v>
      </c>
      <c r="S17" s="56">
        <f>ROUNDUP(R17*0.75,2)</f>
        <v>0.08</v>
      </c>
      <c r="T17" s="71" t="e">
        <f>ROUNDUP((#REF!*R17)+(#REF!*S17)+(#REF!*(R17*2)),2)</f>
        <v>#REF!</v>
      </c>
    </row>
    <row r="18" spans="1:20" ht="18.75" customHeight="1" x14ac:dyDescent="0.15">
      <c r="A18" s="359"/>
      <c r="B18" s="75"/>
      <c r="C18" s="54" t="s">
        <v>116</v>
      </c>
      <c r="D18" s="55"/>
      <c r="E18" s="56">
        <v>2</v>
      </c>
      <c r="F18" s="57" t="s">
        <v>29</v>
      </c>
      <c r="G18" s="79" t="s">
        <v>117</v>
      </c>
      <c r="H18" s="83" t="s">
        <v>116</v>
      </c>
      <c r="I18" s="55"/>
      <c r="J18" s="57">
        <f>ROUNDUP(E18*0.75,2)</f>
        <v>1.5</v>
      </c>
      <c r="K18" s="57" t="s">
        <v>29</v>
      </c>
      <c r="L18" s="57" t="s">
        <v>117</v>
      </c>
      <c r="M18" s="57"/>
      <c r="N18" s="87">
        <f>M18</f>
        <v>0</v>
      </c>
      <c r="O18" s="75" t="s">
        <v>19</v>
      </c>
      <c r="P18" s="58" t="s">
        <v>57</v>
      </c>
      <c r="Q18" s="55"/>
      <c r="R18" s="59">
        <v>2</v>
      </c>
      <c r="S18" s="56">
        <f>ROUNDUP(R18*0.75,2)</f>
        <v>1.5</v>
      </c>
      <c r="T18" s="71" t="e">
        <f>ROUNDUP((#REF!*R18)+(#REF!*S18)+(#REF!*(R18*2)),2)</f>
        <v>#REF!</v>
      </c>
    </row>
    <row r="19" spans="1:20" ht="18.75" customHeight="1" x14ac:dyDescent="0.15">
      <c r="A19" s="359"/>
      <c r="B19" s="75"/>
      <c r="C19" s="54"/>
      <c r="D19" s="55"/>
      <c r="E19" s="56"/>
      <c r="F19" s="57"/>
      <c r="G19" s="79"/>
      <c r="H19" s="83"/>
      <c r="I19" s="55"/>
      <c r="J19" s="57"/>
      <c r="K19" s="57"/>
      <c r="L19" s="57"/>
      <c r="M19" s="57"/>
      <c r="N19" s="87"/>
      <c r="O19" s="75"/>
      <c r="P19" s="58" t="s">
        <v>62</v>
      </c>
      <c r="Q19" s="55"/>
      <c r="R19" s="59">
        <v>2</v>
      </c>
      <c r="S19" s="56">
        <f>ROUNDUP(R19*0.75,2)</f>
        <v>1.5</v>
      </c>
      <c r="T19" s="71" t="e">
        <f>ROUNDUP((#REF!*R19)+(#REF!*S19)+(#REF!*(R19*2)),2)</f>
        <v>#REF!</v>
      </c>
    </row>
    <row r="20" spans="1:20" ht="18.75" customHeight="1" x14ac:dyDescent="0.15">
      <c r="A20" s="359"/>
      <c r="B20" s="74"/>
      <c r="C20" s="48"/>
      <c r="D20" s="49"/>
      <c r="E20" s="50"/>
      <c r="F20" s="51"/>
      <c r="G20" s="78"/>
      <c r="H20" s="82"/>
      <c r="I20" s="49"/>
      <c r="J20" s="51"/>
      <c r="K20" s="51"/>
      <c r="L20" s="51"/>
      <c r="M20" s="51"/>
      <c r="N20" s="86"/>
      <c r="O20" s="74"/>
      <c r="P20" s="52"/>
      <c r="Q20" s="49"/>
      <c r="R20" s="53"/>
      <c r="S20" s="50"/>
      <c r="T20" s="70"/>
    </row>
    <row r="21" spans="1:20" ht="18.75" customHeight="1" x14ac:dyDescent="0.15">
      <c r="A21" s="359"/>
      <c r="B21" s="75" t="s">
        <v>118</v>
      </c>
      <c r="C21" s="54" t="s">
        <v>119</v>
      </c>
      <c r="D21" s="55"/>
      <c r="E21" s="56">
        <v>5</v>
      </c>
      <c r="F21" s="57" t="s">
        <v>29</v>
      </c>
      <c r="G21" s="79" t="s">
        <v>55</v>
      </c>
      <c r="H21" s="83" t="s">
        <v>119</v>
      </c>
      <c r="I21" s="55"/>
      <c r="J21" s="57">
        <f>ROUNDUP(E21*0.75,2)</f>
        <v>3.75</v>
      </c>
      <c r="K21" s="57" t="s">
        <v>29</v>
      </c>
      <c r="L21" s="57" t="s">
        <v>55</v>
      </c>
      <c r="M21" s="57"/>
      <c r="N21" s="87">
        <f>M21</f>
        <v>0</v>
      </c>
      <c r="O21" s="75" t="s">
        <v>19</v>
      </c>
      <c r="P21" s="58" t="s">
        <v>50</v>
      </c>
      <c r="Q21" s="55"/>
      <c r="R21" s="59">
        <v>100</v>
      </c>
      <c r="S21" s="56">
        <f>ROUNDUP(R21*0.75,2)</f>
        <v>75</v>
      </c>
      <c r="T21" s="71" t="e">
        <f>ROUNDUP((#REF!*R21)+(#REF!*S21)+(#REF!*(R21*2)),2)</f>
        <v>#REF!</v>
      </c>
    </row>
    <row r="22" spans="1:20" ht="18.75" customHeight="1" x14ac:dyDescent="0.15">
      <c r="A22" s="359"/>
      <c r="B22" s="75"/>
      <c r="C22" s="54" t="s">
        <v>41</v>
      </c>
      <c r="D22" s="55"/>
      <c r="E22" s="56">
        <v>0.5</v>
      </c>
      <c r="F22" s="57" t="s">
        <v>29</v>
      </c>
      <c r="G22" s="79" t="s">
        <v>42</v>
      </c>
      <c r="H22" s="83" t="s">
        <v>41</v>
      </c>
      <c r="I22" s="55"/>
      <c r="J22" s="57">
        <f>ROUNDUP(E22*0.75,2)</f>
        <v>0.38</v>
      </c>
      <c r="K22" s="57" t="s">
        <v>29</v>
      </c>
      <c r="L22" s="57" t="s">
        <v>42</v>
      </c>
      <c r="M22" s="57"/>
      <c r="N22" s="87">
        <f>M22</f>
        <v>0</v>
      </c>
      <c r="O22" s="75"/>
      <c r="P22" s="58" t="s">
        <v>120</v>
      </c>
      <c r="Q22" s="55"/>
      <c r="R22" s="59">
        <v>0.5</v>
      </c>
      <c r="S22" s="56">
        <f>ROUNDUP(R22*0.75,2)</f>
        <v>0.38</v>
      </c>
      <c r="T22" s="71" t="e">
        <f>ROUNDUP((#REF!*R22)+(#REF!*S22)+(#REF!*(R22*2)),2)</f>
        <v>#REF!</v>
      </c>
    </row>
    <row r="23" spans="1:20" ht="18.75" customHeight="1" x14ac:dyDescent="0.15">
      <c r="A23" s="359"/>
      <c r="B23" s="75"/>
      <c r="C23" s="54"/>
      <c r="D23" s="55"/>
      <c r="E23" s="56"/>
      <c r="F23" s="57"/>
      <c r="G23" s="79"/>
      <c r="H23" s="83"/>
      <c r="I23" s="55"/>
      <c r="J23" s="57"/>
      <c r="K23" s="57"/>
      <c r="L23" s="57"/>
      <c r="M23" s="57"/>
      <c r="N23" s="87"/>
      <c r="O23" s="75"/>
      <c r="P23" s="58" t="s">
        <v>43</v>
      </c>
      <c r="Q23" s="55"/>
      <c r="R23" s="59">
        <v>0.1</v>
      </c>
      <c r="S23" s="56">
        <f>ROUNDUP(R23*0.75,2)</f>
        <v>0.08</v>
      </c>
      <c r="T23" s="71" t="e">
        <f>ROUNDUP((#REF!*R23)+(#REF!*S23)+(#REF!*(R23*2)),2)</f>
        <v>#REF!</v>
      </c>
    </row>
    <row r="24" spans="1:20" ht="18.75" customHeight="1" thickBot="1" x14ac:dyDescent="0.2">
      <c r="A24" s="360"/>
      <c r="B24" s="76"/>
      <c r="C24" s="61"/>
      <c r="D24" s="62"/>
      <c r="E24" s="63"/>
      <c r="F24" s="64"/>
      <c r="G24" s="80"/>
      <c r="H24" s="84"/>
      <c r="I24" s="62"/>
      <c r="J24" s="64"/>
      <c r="K24" s="64"/>
      <c r="L24" s="64"/>
      <c r="M24" s="64"/>
      <c r="N24" s="88"/>
      <c r="O24" s="76"/>
      <c r="P24" s="65"/>
      <c r="Q24" s="62"/>
      <c r="R24" s="66"/>
      <c r="S24" s="63"/>
      <c r="T24" s="72"/>
    </row>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229</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358</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323</v>
      </c>
      <c r="C9" s="96" t="s">
        <v>58</v>
      </c>
      <c r="D9" s="96" t="s">
        <v>39</v>
      </c>
      <c r="E9" s="55"/>
      <c r="F9" s="121"/>
      <c r="G9" s="136"/>
      <c r="H9" s="116">
        <v>0.1</v>
      </c>
      <c r="I9" s="127" t="s">
        <v>322</v>
      </c>
      <c r="J9" s="96" t="s">
        <v>58</v>
      </c>
      <c r="K9" s="140">
        <v>0.1</v>
      </c>
      <c r="L9" s="136" t="s">
        <v>377</v>
      </c>
      <c r="M9" s="96" t="s">
        <v>58</v>
      </c>
      <c r="N9" s="116">
        <v>0.1</v>
      </c>
      <c r="O9" s="111" t="s">
        <v>39</v>
      </c>
    </row>
    <row r="10" spans="1:21" ht="20.100000000000001" customHeight="1" x14ac:dyDescent="0.15">
      <c r="A10" s="379"/>
      <c r="B10" s="96"/>
      <c r="C10" s="96" t="s">
        <v>108</v>
      </c>
      <c r="D10" s="96" t="s">
        <v>55</v>
      </c>
      <c r="E10" s="55"/>
      <c r="F10" s="121"/>
      <c r="G10" s="136"/>
      <c r="H10" s="115">
        <v>10</v>
      </c>
      <c r="I10" s="127"/>
      <c r="J10" s="98" t="s">
        <v>167</v>
      </c>
      <c r="K10" s="141">
        <v>5</v>
      </c>
      <c r="L10" s="136"/>
      <c r="M10" s="96" t="s">
        <v>33</v>
      </c>
      <c r="N10" s="115">
        <v>10</v>
      </c>
      <c r="O10" s="111"/>
    </row>
    <row r="11" spans="1:21" ht="20.100000000000001" customHeight="1" x14ac:dyDescent="0.15">
      <c r="A11" s="379"/>
      <c r="B11" s="96"/>
      <c r="C11" s="96" t="s">
        <v>33</v>
      </c>
      <c r="D11" s="96"/>
      <c r="E11" s="55"/>
      <c r="F11" s="121"/>
      <c r="G11" s="136"/>
      <c r="H11" s="115">
        <v>20</v>
      </c>
      <c r="I11" s="127"/>
      <c r="J11" s="96" t="s">
        <v>33</v>
      </c>
      <c r="K11" s="141">
        <v>20</v>
      </c>
      <c r="L11" s="136"/>
      <c r="M11" s="96" t="s">
        <v>235</v>
      </c>
      <c r="N11" s="115">
        <v>5</v>
      </c>
      <c r="O11" s="111"/>
    </row>
    <row r="12" spans="1:21" ht="20.100000000000001" customHeight="1" x14ac:dyDescent="0.15">
      <c r="A12" s="379"/>
      <c r="B12" s="96"/>
      <c r="C12" s="96" t="s">
        <v>235</v>
      </c>
      <c r="D12" s="96"/>
      <c r="E12" s="55"/>
      <c r="F12" s="121"/>
      <c r="G12" s="136"/>
      <c r="H12" s="115">
        <v>5</v>
      </c>
      <c r="I12" s="127"/>
      <c r="J12" s="96" t="s">
        <v>235</v>
      </c>
      <c r="K12" s="141">
        <v>5</v>
      </c>
      <c r="L12" s="136"/>
      <c r="M12" s="96" t="s">
        <v>175</v>
      </c>
      <c r="N12" s="115">
        <v>5</v>
      </c>
      <c r="O12" s="111" t="s">
        <v>176</v>
      </c>
    </row>
    <row r="13" spans="1:21" ht="20.100000000000001" customHeight="1" x14ac:dyDescent="0.15">
      <c r="A13" s="379"/>
      <c r="B13" s="96"/>
      <c r="C13" s="96" t="s">
        <v>175</v>
      </c>
      <c r="D13" s="96" t="s">
        <v>176</v>
      </c>
      <c r="E13" s="55"/>
      <c r="F13" s="121"/>
      <c r="G13" s="136"/>
      <c r="H13" s="115">
        <v>5</v>
      </c>
      <c r="I13" s="127"/>
      <c r="J13" s="96" t="s">
        <v>175</v>
      </c>
      <c r="K13" s="141">
        <v>5</v>
      </c>
      <c r="L13" s="135"/>
      <c r="M13" s="97"/>
      <c r="N13" s="114"/>
      <c r="O13" s="110"/>
    </row>
    <row r="14" spans="1:21" ht="20.100000000000001" customHeight="1" x14ac:dyDescent="0.15">
      <c r="A14" s="379"/>
      <c r="B14" s="96"/>
      <c r="C14" s="96"/>
      <c r="D14" s="96"/>
      <c r="E14" s="55"/>
      <c r="F14" s="121"/>
      <c r="G14" s="136" t="s">
        <v>23</v>
      </c>
      <c r="H14" s="115" t="s">
        <v>292</v>
      </c>
      <c r="I14" s="127"/>
      <c r="J14" s="96"/>
      <c r="K14" s="141"/>
      <c r="L14" s="136" t="s">
        <v>320</v>
      </c>
      <c r="M14" s="96" t="s">
        <v>60</v>
      </c>
      <c r="N14" s="115">
        <v>10</v>
      </c>
      <c r="O14" s="111" t="s">
        <v>31</v>
      </c>
    </row>
    <row r="15" spans="1:21" ht="20.100000000000001" customHeight="1" x14ac:dyDescent="0.15">
      <c r="A15" s="379"/>
      <c r="B15" s="96"/>
      <c r="C15" s="96"/>
      <c r="D15" s="96"/>
      <c r="E15" s="55"/>
      <c r="F15" s="121" t="s">
        <v>26</v>
      </c>
      <c r="G15" s="136" t="s">
        <v>25</v>
      </c>
      <c r="H15" s="115" t="s">
        <v>294</v>
      </c>
      <c r="I15" s="127"/>
      <c r="J15" s="96"/>
      <c r="K15" s="141"/>
      <c r="L15" s="136"/>
      <c r="M15" s="96"/>
      <c r="N15" s="115"/>
      <c r="O15" s="111"/>
    </row>
    <row r="16" spans="1:21" ht="20.100000000000001" customHeight="1" x14ac:dyDescent="0.15">
      <c r="A16" s="379"/>
      <c r="B16" s="96"/>
      <c r="C16" s="96"/>
      <c r="D16" s="96"/>
      <c r="E16" s="55"/>
      <c r="F16" s="121"/>
      <c r="G16" s="136" t="s">
        <v>24</v>
      </c>
      <c r="H16" s="115" t="s">
        <v>294</v>
      </c>
      <c r="I16" s="127"/>
      <c r="J16" s="96"/>
      <c r="K16" s="141"/>
      <c r="L16" s="136"/>
      <c r="M16" s="96"/>
      <c r="N16" s="115"/>
      <c r="O16" s="111"/>
    </row>
    <row r="17" spans="1:15" ht="20.100000000000001" customHeight="1" x14ac:dyDescent="0.15">
      <c r="A17" s="379"/>
      <c r="B17" s="96"/>
      <c r="C17" s="96"/>
      <c r="D17" s="96"/>
      <c r="E17" s="55"/>
      <c r="F17" s="121"/>
      <c r="G17" s="136" t="s">
        <v>21</v>
      </c>
      <c r="H17" s="115" t="s">
        <v>294</v>
      </c>
      <c r="I17" s="127"/>
      <c r="J17" s="96"/>
      <c r="K17" s="141"/>
      <c r="L17" s="136"/>
      <c r="M17" s="96"/>
      <c r="N17" s="115"/>
      <c r="O17" s="111"/>
    </row>
    <row r="18" spans="1:15" ht="20.100000000000001" customHeight="1" x14ac:dyDescent="0.15">
      <c r="A18" s="379"/>
      <c r="B18" s="97"/>
      <c r="C18" s="97"/>
      <c r="D18" s="97"/>
      <c r="E18" s="49"/>
      <c r="F18" s="120"/>
      <c r="G18" s="135"/>
      <c r="H18" s="114"/>
      <c r="I18" s="126"/>
      <c r="J18" s="97"/>
      <c r="K18" s="139"/>
      <c r="L18" s="136"/>
      <c r="M18" s="96"/>
      <c r="N18" s="115"/>
      <c r="O18" s="111"/>
    </row>
    <row r="19" spans="1:15" ht="20.100000000000001" customHeight="1" x14ac:dyDescent="0.15">
      <c r="A19" s="379"/>
      <c r="B19" s="96" t="s">
        <v>376</v>
      </c>
      <c r="C19" s="96" t="s">
        <v>60</v>
      </c>
      <c r="D19" s="96" t="s">
        <v>31</v>
      </c>
      <c r="E19" s="55"/>
      <c r="F19" s="122"/>
      <c r="G19" s="136"/>
      <c r="H19" s="115">
        <v>20</v>
      </c>
      <c r="I19" s="127" t="s">
        <v>376</v>
      </c>
      <c r="J19" s="96" t="s">
        <v>60</v>
      </c>
      <c r="K19" s="141">
        <v>10</v>
      </c>
      <c r="L19" s="136"/>
      <c r="M19" s="96"/>
      <c r="N19" s="115"/>
      <c r="O19" s="111"/>
    </row>
    <row r="20" spans="1:15" ht="20.100000000000001" customHeight="1" x14ac:dyDescent="0.15">
      <c r="A20" s="379"/>
      <c r="B20" s="96"/>
      <c r="C20" s="96" t="s">
        <v>236</v>
      </c>
      <c r="D20" s="96" t="s">
        <v>31</v>
      </c>
      <c r="E20" s="55"/>
      <c r="F20" s="121"/>
      <c r="G20" s="136"/>
      <c r="H20" s="115">
        <v>5</v>
      </c>
      <c r="I20" s="127"/>
      <c r="J20" s="96" t="s">
        <v>236</v>
      </c>
      <c r="K20" s="141">
        <v>5</v>
      </c>
      <c r="L20" s="136"/>
      <c r="M20" s="96"/>
      <c r="N20" s="115"/>
      <c r="O20" s="111"/>
    </row>
    <row r="21" spans="1:15" ht="20.100000000000001" customHeight="1" x14ac:dyDescent="0.15">
      <c r="A21" s="379"/>
      <c r="B21" s="96"/>
      <c r="C21" s="96"/>
      <c r="D21" s="96"/>
      <c r="E21" s="55"/>
      <c r="F21" s="121"/>
      <c r="G21" s="136" t="s">
        <v>23</v>
      </c>
      <c r="H21" s="115" t="s">
        <v>292</v>
      </c>
      <c r="I21" s="127"/>
      <c r="J21" s="96"/>
      <c r="K21" s="141"/>
      <c r="L21" s="136"/>
      <c r="M21" s="96"/>
      <c r="N21" s="115"/>
      <c r="O21" s="111"/>
    </row>
    <row r="22" spans="1:15" ht="20.100000000000001" customHeight="1" x14ac:dyDescent="0.15">
      <c r="A22" s="379"/>
      <c r="B22" s="97"/>
      <c r="C22" s="97"/>
      <c r="D22" s="97"/>
      <c r="E22" s="49"/>
      <c r="F22" s="120"/>
      <c r="G22" s="135"/>
      <c r="H22" s="114"/>
      <c r="I22" s="126"/>
      <c r="J22" s="97"/>
      <c r="K22" s="139"/>
      <c r="L22" s="136"/>
      <c r="M22" s="96"/>
      <c r="N22" s="115"/>
      <c r="O22" s="111"/>
    </row>
    <row r="23" spans="1:15" ht="20.100000000000001" customHeight="1" x14ac:dyDescent="0.15">
      <c r="A23" s="379"/>
      <c r="B23" s="96" t="s">
        <v>87</v>
      </c>
      <c r="C23" s="96" t="s">
        <v>41</v>
      </c>
      <c r="D23" s="96" t="s">
        <v>42</v>
      </c>
      <c r="E23" s="55"/>
      <c r="F23" s="121"/>
      <c r="G23" s="136"/>
      <c r="H23" s="115">
        <v>0.5</v>
      </c>
      <c r="I23" s="127" t="s">
        <v>87</v>
      </c>
      <c r="J23" s="96" t="s">
        <v>41</v>
      </c>
      <c r="K23" s="141">
        <v>0.5</v>
      </c>
      <c r="L23" s="136"/>
      <c r="M23" s="96"/>
      <c r="N23" s="115"/>
      <c r="O23" s="111"/>
    </row>
    <row r="24" spans="1:15" ht="20.100000000000001" customHeight="1" x14ac:dyDescent="0.15">
      <c r="A24" s="379"/>
      <c r="B24" s="96"/>
      <c r="C24" s="96"/>
      <c r="D24" s="96"/>
      <c r="E24" s="55"/>
      <c r="F24" s="121"/>
      <c r="G24" s="136" t="s">
        <v>50</v>
      </c>
      <c r="H24" s="115" t="s">
        <v>292</v>
      </c>
      <c r="I24" s="127"/>
      <c r="J24" s="96"/>
      <c r="K24" s="141"/>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2.5" customHeight="1" x14ac:dyDescent="0.15">
      <c r="A3" s="5"/>
      <c r="B3" s="397" t="s">
        <v>286</v>
      </c>
      <c r="C3" s="397"/>
      <c r="D3" s="3"/>
      <c r="E3" s="6"/>
      <c r="F3" s="2"/>
      <c r="G3" s="2"/>
      <c r="H3" s="2"/>
      <c r="I3" s="3"/>
      <c r="J3" s="2"/>
      <c r="K3" s="7"/>
      <c r="L3" s="7"/>
      <c r="M3" s="7"/>
      <c r="N3" s="8"/>
      <c r="O3" s="2"/>
      <c r="P3" s="9"/>
      <c r="Q3" s="39" t="s">
        <v>2</v>
      </c>
      <c r="R3" s="40"/>
      <c r="S3" s="41"/>
      <c r="T3" s="41"/>
      <c r="U3" s="3"/>
    </row>
    <row r="4" spans="1:21" ht="22.5" customHeight="1" x14ac:dyDescent="0.15">
      <c r="A4" s="5"/>
      <c r="B4" s="397"/>
      <c r="C4" s="397"/>
      <c r="D4" s="10"/>
      <c r="E4" s="6"/>
      <c r="F4" s="2"/>
      <c r="G4" s="2"/>
      <c r="H4" s="2"/>
      <c r="I4" s="10"/>
      <c r="J4" s="2"/>
      <c r="K4" s="7"/>
      <c r="L4" s="7"/>
      <c r="M4" s="7"/>
      <c r="N4" s="8"/>
      <c r="O4" s="2"/>
      <c r="P4" s="9"/>
      <c r="Q4" s="39" t="s">
        <v>1</v>
      </c>
      <c r="R4" s="40"/>
      <c r="S4" s="41"/>
      <c r="T4" s="41"/>
      <c r="U4" s="3"/>
    </row>
    <row r="5" spans="1:21" ht="27.75" customHeight="1" thickBot="1" x14ac:dyDescent="0.3">
      <c r="A5" s="356" t="s">
        <v>238</v>
      </c>
      <c r="B5" s="357"/>
      <c r="C5" s="357"/>
      <c r="D5" s="357"/>
      <c r="E5" s="357"/>
      <c r="F5" s="357"/>
      <c r="G5" s="2"/>
      <c r="H5" s="2"/>
      <c r="I5" s="13"/>
      <c r="J5" s="2"/>
      <c r="K5" s="7"/>
      <c r="L5" s="7"/>
      <c r="M5" s="7"/>
      <c r="N5" s="11"/>
      <c r="O5" s="2"/>
      <c r="P5" s="14"/>
      <c r="Q5" s="13"/>
      <c r="R5" s="15"/>
      <c r="S5" s="15"/>
      <c r="T5" s="16"/>
      <c r="U5" s="12"/>
    </row>
    <row r="6" spans="1:21" customFormat="1" ht="42" customHeight="1" thickBot="1" x14ac:dyDescent="0.2">
      <c r="A6" s="17"/>
      <c r="B6" s="18" t="s">
        <v>3</v>
      </c>
      <c r="C6" s="19" t="s">
        <v>4</v>
      </c>
      <c r="D6" s="20" t="s">
        <v>5</v>
      </c>
      <c r="E6" s="37" t="s">
        <v>9</v>
      </c>
      <c r="F6" s="21" t="s">
        <v>7</v>
      </c>
      <c r="G6" s="19" t="s">
        <v>8</v>
      </c>
      <c r="H6" s="18" t="s">
        <v>4</v>
      </c>
      <c r="I6" s="20" t="s">
        <v>5</v>
      </c>
      <c r="J6" s="38" t="s">
        <v>6</v>
      </c>
      <c r="K6" s="21" t="s">
        <v>7</v>
      </c>
      <c r="L6" s="21" t="s">
        <v>8</v>
      </c>
      <c r="M6" s="21" t="s">
        <v>10</v>
      </c>
      <c r="N6" s="23" t="s">
        <v>11</v>
      </c>
      <c r="O6" s="24" t="s">
        <v>12</v>
      </c>
      <c r="P6" s="21" t="s">
        <v>13</v>
      </c>
      <c r="Q6" s="25" t="s">
        <v>5</v>
      </c>
      <c r="R6" s="22" t="s">
        <v>15</v>
      </c>
      <c r="S6" s="26" t="s">
        <v>14</v>
      </c>
      <c r="T6" s="27" t="s">
        <v>16</v>
      </c>
      <c r="U6" s="28"/>
    </row>
    <row r="7" spans="1:21" ht="18.75" customHeight="1" x14ac:dyDescent="0.15">
      <c r="A7" s="358" t="s">
        <v>51</v>
      </c>
      <c r="B7" s="73" t="s">
        <v>94</v>
      </c>
      <c r="C7" s="42" t="s">
        <v>127</v>
      </c>
      <c r="D7" s="43" t="s">
        <v>128</v>
      </c>
      <c r="E7" s="90">
        <v>0.5</v>
      </c>
      <c r="F7" s="45" t="s">
        <v>56</v>
      </c>
      <c r="G7" s="77" t="s">
        <v>39</v>
      </c>
      <c r="H7" s="81" t="s">
        <v>127</v>
      </c>
      <c r="I7" s="43" t="s">
        <v>128</v>
      </c>
      <c r="J7" s="45">
        <f>ROUNDUP(E7*0.75,2)</f>
        <v>0.38</v>
      </c>
      <c r="K7" s="45" t="s">
        <v>56</v>
      </c>
      <c r="L7" s="45" t="s">
        <v>39</v>
      </c>
      <c r="M7" s="45"/>
      <c r="N7" s="85">
        <f>M7</f>
        <v>0</v>
      </c>
      <c r="O7" s="73"/>
      <c r="P7" s="46" t="s">
        <v>18</v>
      </c>
      <c r="Q7" s="43"/>
      <c r="R7" s="47">
        <v>110</v>
      </c>
      <c r="S7" s="44">
        <f>ROUNDUP(R7*0.75,2)</f>
        <v>82.5</v>
      </c>
      <c r="T7" s="69" t="e">
        <f>ROUNDUP((R3*R7)+(R4*S7)+(#REF!*(R7*2)),2)</f>
        <v>#REF!</v>
      </c>
    </row>
    <row r="8" spans="1:21" ht="18.75" customHeight="1" x14ac:dyDescent="0.15">
      <c r="A8" s="359"/>
      <c r="B8" s="74"/>
      <c r="C8" s="48"/>
      <c r="D8" s="49"/>
      <c r="E8" s="50"/>
      <c r="F8" s="51"/>
      <c r="G8" s="78"/>
      <c r="H8" s="82"/>
      <c r="I8" s="49"/>
      <c r="J8" s="51"/>
      <c r="K8" s="51"/>
      <c r="L8" s="51"/>
      <c r="M8" s="51"/>
      <c r="N8" s="86"/>
      <c r="O8" s="74"/>
      <c r="P8" s="52"/>
      <c r="Q8" s="49"/>
      <c r="R8" s="53"/>
      <c r="S8" s="50"/>
      <c r="T8" s="70"/>
    </row>
    <row r="9" spans="1:21" ht="18.75" customHeight="1" x14ac:dyDescent="0.15">
      <c r="A9" s="359"/>
      <c r="B9" s="75" t="s">
        <v>239</v>
      </c>
      <c r="C9" s="54" t="s">
        <v>134</v>
      </c>
      <c r="D9" s="55"/>
      <c r="E9" s="56">
        <v>1</v>
      </c>
      <c r="F9" s="57" t="s">
        <v>20</v>
      </c>
      <c r="G9" s="79" t="s">
        <v>135</v>
      </c>
      <c r="H9" s="83" t="s">
        <v>134</v>
      </c>
      <c r="I9" s="55"/>
      <c r="J9" s="57">
        <f>ROUNDUP(E9*0.75,2)</f>
        <v>0.75</v>
      </c>
      <c r="K9" s="57" t="s">
        <v>20</v>
      </c>
      <c r="L9" s="57" t="s">
        <v>135</v>
      </c>
      <c r="M9" s="57"/>
      <c r="N9" s="87">
        <f>M9</f>
        <v>0</v>
      </c>
      <c r="O9" s="75" t="s">
        <v>240</v>
      </c>
      <c r="P9" s="58" t="s">
        <v>37</v>
      </c>
      <c r="Q9" s="55"/>
      <c r="R9" s="59">
        <v>0.5</v>
      </c>
      <c r="S9" s="56">
        <f t="shared" ref="S9:S15" si="0">ROUNDUP(R9*0.75,2)</f>
        <v>0.38</v>
      </c>
      <c r="T9" s="71" t="e">
        <f>ROUNDUP((R3*R9)+(R4*S9)+(#REF!*(R9*2)),2)</f>
        <v>#REF!</v>
      </c>
    </row>
    <row r="10" spans="1:21" ht="18.75" customHeight="1" x14ac:dyDescent="0.15">
      <c r="A10" s="359"/>
      <c r="B10" s="75"/>
      <c r="C10" s="54" t="s">
        <v>83</v>
      </c>
      <c r="D10" s="55"/>
      <c r="E10" s="56">
        <v>30</v>
      </c>
      <c r="F10" s="57" t="s">
        <v>29</v>
      </c>
      <c r="G10" s="79"/>
      <c r="H10" s="83" t="s">
        <v>83</v>
      </c>
      <c r="I10" s="55"/>
      <c r="J10" s="57">
        <f>ROUNDUP(E10*0.75,2)</f>
        <v>22.5</v>
      </c>
      <c r="K10" s="57" t="s">
        <v>29</v>
      </c>
      <c r="L10" s="57"/>
      <c r="M10" s="57"/>
      <c r="N10" s="87">
        <f>ROUND(M10+(M10*15/100),2)</f>
        <v>0</v>
      </c>
      <c r="O10" s="75" t="s">
        <v>241</v>
      </c>
      <c r="P10" s="58" t="s">
        <v>66</v>
      </c>
      <c r="Q10" s="55"/>
      <c r="R10" s="59">
        <v>3</v>
      </c>
      <c r="S10" s="56">
        <f t="shared" si="0"/>
        <v>2.25</v>
      </c>
      <c r="T10" s="71" t="e">
        <f>ROUNDUP((R3*R10)+(R4*S10)+(#REF!*(R10*2)),2)</f>
        <v>#REF!</v>
      </c>
    </row>
    <row r="11" spans="1:21" ht="18.75" customHeight="1" x14ac:dyDescent="0.15">
      <c r="A11" s="359"/>
      <c r="B11" s="75"/>
      <c r="C11" s="54" t="s">
        <v>136</v>
      </c>
      <c r="D11" s="55"/>
      <c r="E11" s="56">
        <v>5</v>
      </c>
      <c r="F11" s="57" t="s">
        <v>29</v>
      </c>
      <c r="G11" s="79"/>
      <c r="H11" s="83" t="s">
        <v>136</v>
      </c>
      <c r="I11" s="55"/>
      <c r="J11" s="57">
        <f>ROUNDUP(E11*0.75,2)</f>
        <v>3.75</v>
      </c>
      <c r="K11" s="57" t="s">
        <v>29</v>
      </c>
      <c r="L11" s="57"/>
      <c r="M11" s="57"/>
      <c r="N11" s="87">
        <f>ROUND(M11+(M11*15/100),2)</f>
        <v>0</v>
      </c>
      <c r="O11" s="75" t="s">
        <v>242</v>
      </c>
      <c r="P11" s="58" t="s">
        <v>27</v>
      </c>
      <c r="Q11" s="55"/>
      <c r="R11" s="59">
        <v>3</v>
      </c>
      <c r="S11" s="56">
        <f t="shared" si="0"/>
        <v>2.25</v>
      </c>
      <c r="T11" s="71" t="e">
        <f>ROUNDUP((R3*R11)+(R4*S11)+(#REF!*(R11*2)),2)</f>
        <v>#REF!</v>
      </c>
    </row>
    <row r="12" spans="1:21" ht="18.75" customHeight="1" x14ac:dyDescent="0.15">
      <c r="A12" s="359"/>
      <c r="B12" s="75"/>
      <c r="C12" s="54" t="s">
        <v>61</v>
      </c>
      <c r="D12" s="55"/>
      <c r="E12" s="56">
        <v>5</v>
      </c>
      <c r="F12" s="57" t="s">
        <v>29</v>
      </c>
      <c r="G12" s="79"/>
      <c r="H12" s="83" t="s">
        <v>61</v>
      </c>
      <c r="I12" s="55"/>
      <c r="J12" s="57">
        <f>ROUNDUP(E12*0.75,2)</f>
        <v>3.75</v>
      </c>
      <c r="K12" s="57" t="s">
        <v>29</v>
      </c>
      <c r="L12" s="57"/>
      <c r="M12" s="57"/>
      <c r="N12" s="87">
        <f>ROUND(M12+(M12*3/100),2)</f>
        <v>0</v>
      </c>
      <c r="O12" s="75" t="s">
        <v>243</v>
      </c>
      <c r="P12" s="58" t="s">
        <v>24</v>
      </c>
      <c r="Q12" s="55"/>
      <c r="R12" s="59">
        <v>1</v>
      </c>
      <c r="S12" s="56">
        <f t="shared" si="0"/>
        <v>0.75</v>
      </c>
      <c r="T12" s="71" t="e">
        <f>ROUNDUP((R3*R12)+(R4*S12)+(#REF!*(R12*2)),2)</f>
        <v>#REF!</v>
      </c>
    </row>
    <row r="13" spans="1:21" ht="18.75" customHeight="1" x14ac:dyDescent="0.15">
      <c r="A13" s="359"/>
      <c r="B13" s="75"/>
      <c r="C13" s="54" t="s">
        <v>137</v>
      </c>
      <c r="D13" s="55"/>
      <c r="E13" s="56">
        <v>5</v>
      </c>
      <c r="F13" s="57" t="s">
        <v>29</v>
      </c>
      <c r="G13" s="79" t="s">
        <v>138</v>
      </c>
      <c r="H13" s="83" t="s">
        <v>137</v>
      </c>
      <c r="I13" s="55"/>
      <c r="J13" s="57">
        <f>ROUNDUP(E13*0.75,2)</f>
        <v>3.75</v>
      </c>
      <c r="K13" s="57" t="s">
        <v>29</v>
      </c>
      <c r="L13" s="57" t="s">
        <v>138</v>
      </c>
      <c r="M13" s="57"/>
      <c r="N13" s="87">
        <f>M13</f>
        <v>0</v>
      </c>
      <c r="O13" s="75" t="s">
        <v>244</v>
      </c>
      <c r="P13" s="58" t="s">
        <v>37</v>
      </c>
      <c r="Q13" s="55"/>
      <c r="R13" s="59">
        <v>0.5</v>
      </c>
      <c r="S13" s="56">
        <f t="shared" si="0"/>
        <v>0.38</v>
      </c>
      <c r="T13" s="71" t="e">
        <f>ROUNDUP((R3*R13)+(R4*S13)+(#REF!*(R13*2)),2)</f>
        <v>#REF!</v>
      </c>
    </row>
    <row r="14" spans="1:21" ht="18.75" customHeight="1" x14ac:dyDescent="0.15">
      <c r="A14" s="359"/>
      <c r="B14" s="75"/>
      <c r="C14" s="54"/>
      <c r="D14" s="55"/>
      <c r="E14" s="56"/>
      <c r="F14" s="57"/>
      <c r="G14" s="79"/>
      <c r="H14" s="83"/>
      <c r="I14" s="55"/>
      <c r="J14" s="57"/>
      <c r="K14" s="57"/>
      <c r="L14" s="57"/>
      <c r="M14" s="57"/>
      <c r="N14" s="87"/>
      <c r="O14" s="75" t="s">
        <v>245</v>
      </c>
      <c r="P14" s="58" t="s">
        <v>22</v>
      </c>
      <c r="Q14" s="55"/>
      <c r="R14" s="59">
        <v>1</v>
      </c>
      <c r="S14" s="56">
        <f t="shared" si="0"/>
        <v>0.75</v>
      </c>
      <c r="T14" s="71" t="e">
        <f>ROUNDUP((R3*R14)+(R4*S14)+(#REF!*(R14*2)),2)</f>
        <v>#REF!</v>
      </c>
    </row>
    <row r="15" spans="1:21" ht="18.75" customHeight="1" x14ac:dyDescent="0.15">
      <c r="A15" s="359"/>
      <c r="B15" s="75"/>
      <c r="C15" s="54"/>
      <c r="D15" s="55"/>
      <c r="E15" s="56"/>
      <c r="F15" s="57"/>
      <c r="G15" s="79"/>
      <c r="H15" s="83"/>
      <c r="I15" s="55"/>
      <c r="J15" s="57"/>
      <c r="K15" s="57"/>
      <c r="L15" s="57"/>
      <c r="M15" s="57"/>
      <c r="N15" s="87"/>
      <c r="O15" s="75" t="s">
        <v>19</v>
      </c>
      <c r="P15" s="58" t="s">
        <v>76</v>
      </c>
      <c r="Q15" s="55" t="s">
        <v>49</v>
      </c>
      <c r="R15" s="59">
        <v>2</v>
      </c>
      <c r="S15" s="56">
        <f t="shared" si="0"/>
        <v>1.5</v>
      </c>
      <c r="T15" s="71" t="e">
        <f>ROUNDUP((R3*R15)+(R4*S15)+(#REF!*(R15*2)),2)</f>
        <v>#REF!</v>
      </c>
    </row>
    <row r="16" spans="1:21" ht="18.75" customHeight="1" x14ac:dyDescent="0.15">
      <c r="A16" s="359"/>
      <c r="B16" s="74"/>
      <c r="C16" s="48"/>
      <c r="D16" s="49"/>
      <c r="E16" s="50"/>
      <c r="F16" s="51"/>
      <c r="G16" s="78"/>
      <c r="H16" s="82"/>
      <c r="I16" s="49"/>
      <c r="J16" s="51"/>
      <c r="K16" s="51"/>
      <c r="L16" s="51"/>
      <c r="M16" s="51"/>
      <c r="N16" s="86"/>
      <c r="O16" s="74"/>
      <c r="P16" s="52"/>
      <c r="Q16" s="49"/>
      <c r="R16" s="53"/>
      <c r="S16" s="50"/>
      <c r="T16" s="70"/>
    </row>
    <row r="17" spans="1:20" ht="18.75" customHeight="1" x14ac:dyDescent="0.15">
      <c r="A17" s="359"/>
      <c r="B17" s="75" t="s">
        <v>139</v>
      </c>
      <c r="C17" s="54" t="s">
        <v>124</v>
      </c>
      <c r="D17" s="55"/>
      <c r="E17" s="56">
        <v>30</v>
      </c>
      <c r="F17" s="57" t="s">
        <v>29</v>
      </c>
      <c r="G17" s="79"/>
      <c r="H17" s="83" t="s">
        <v>124</v>
      </c>
      <c r="I17" s="55"/>
      <c r="J17" s="57">
        <f>ROUNDUP(E17*0.75,2)</f>
        <v>22.5</v>
      </c>
      <c r="K17" s="57" t="s">
        <v>29</v>
      </c>
      <c r="L17" s="57"/>
      <c r="M17" s="57"/>
      <c r="N17" s="87">
        <f>ROUND(M17+(M17*10/100),2)</f>
        <v>0</v>
      </c>
      <c r="O17" s="75" t="s">
        <v>246</v>
      </c>
      <c r="P17" s="58" t="s">
        <v>24</v>
      </c>
      <c r="Q17" s="55"/>
      <c r="R17" s="59">
        <v>1</v>
      </c>
      <c r="S17" s="56">
        <f>ROUNDUP(R17*0.75,2)</f>
        <v>0.75</v>
      </c>
      <c r="T17" s="71" t="e">
        <f>ROUNDUP((R3*R17)+(R4*S17)+(#REF!*(R17*2)),2)</f>
        <v>#REF!</v>
      </c>
    </row>
    <row r="18" spans="1:20" ht="18.75" customHeight="1" x14ac:dyDescent="0.15">
      <c r="A18" s="359"/>
      <c r="B18" s="75"/>
      <c r="C18" s="54" t="s">
        <v>84</v>
      </c>
      <c r="D18" s="55"/>
      <c r="E18" s="56">
        <v>10</v>
      </c>
      <c r="F18" s="57" t="s">
        <v>29</v>
      </c>
      <c r="G18" s="79"/>
      <c r="H18" s="83" t="s">
        <v>84</v>
      </c>
      <c r="I18" s="55"/>
      <c r="J18" s="57">
        <f>ROUNDUP(E18*0.75,2)</f>
        <v>7.5</v>
      </c>
      <c r="K18" s="57" t="s">
        <v>29</v>
      </c>
      <c r="L18" s="57"/>
      <c r="M18" s="57"/>
      <c r="N18" s="87">
        <f>ROUND(M18+(M18*2/100),2)</f>
        <v>0</v>
      </c>
      <c r="O18" s="75" t="s">
        <v>141</v>
      </c>
      <c r="P18" s="58" t="s">
        <v>25</v>
      </c>
      <c r="Q18" s="55" t="s">
        <v>26</v>
      </c>
      <c r="R18" s="59">
        <v>0.5</v>
      </c>
      <c r="S18" s="56">
        <f>ROUNDUP(R18*0.75,2)</f>
        <v>0.38</v>
      </c>
      <c r="T18" s="71" t="e">
        <f>ROUNDUP((R3*R18)+(R4*S18)+(#REF!*(R18*2)),2)</f>
        <v>#REF!</v>
      </c>
    </row>
    <row r="19" spans="1:20" ht="18.75" customHeight="1" x14ac:dyDescent="0.15">
      <c r="A19" s="359"/>
      <c r="B19" s="75"/>
      <c r="C19" s="54"/>
      <c r="D19" s="55"/>
      <c r="E19" s="56"/>
      <c r="F19" s="57"/>
      <c r="G19" s="79"/>
      <c r="H19" s="83"/>
      <c r="I19" s="55"/>
      <c r="J19" s="57"/>
      <c r="K19" s="57"/>
      <c r="L19" s="57"/>
      <c r="M19" s="57"/>
      <c r="N19" s="87"/>
      <c r="O19" s="75" t="s">
        <v>54</v>
      </c>
      <c r="P19" s="58" t="s">
        <v>57</v>
      </c>
      <c r="Q19" s="55"/>
      <c r="R19" s="59">
        <v>2</v>
      </c>
      <c r="S19" s="56">
        <f>ROUNDUP(R19*0.75,2)</f>
        <v>1.5</v>
      </c>
      <c r="T19" s="71" t="e">
        <f>ROUNDUP((R3*R19)+(R4*S19)+(#REF!*(R19*2)),2)</f>
        <v>#REF!</v>
      </c>
    </row>
    <row r="20" spans="1:20" ht="18.75" customHeight="1" x14ac:dyDescent="0.15">
      <c r="A20" s="359"/>
      <c r="B20" s="75"/>
      <c r="C20" s="54"/>
      <c r="D20" s="55"/>
      <c r="E20" s="56"/>
      <c r="F20" s="57"/>
      <c r="G20" s="79"/>
      <c r="H20" s="83"/>
      <c r="I20" s="55"/>
      <c r="J20" s="57"/>
      <c r="K20" s="57"/>
      <c r="L20" s="57"/>
      <c r="M20" s="57"/>
      <c r="N20" s="87"/>
      <c r="O20" s="75"/>
      <c r="P20" s="58" t="s">
        <v>62</v>
      </c>
      <c r="Q20" s="55"/>
      <c r="R20" s="59">
        <v>2</v>
      </c>
      <c r="S20" s="56">
        <f>ROUNDUP(R20*0.75,2)</f>
        <v>1.5</v>
      </c>
      <c r="T20" s="71" t="e">
        <f>ROUNDUP((R3*R20)+(R4*S20)+(#REF!*(R20*2)),2)</f>
        <v>#REF!</v>
      </c>
    </row>
    <row r="21" spans="1:20" ht="18.75" customHeight="1" x14ac:dyDescent="0.15">
      <c r="A21" s="359"/>
      <c r="B21" s="74"/>
      <c r="C21" s="48"/>
      <c r="D21" s="49"/>
      <c r="E21" s="50"/>
      <c r="F21" s="51"/>
      <c r="G21" s="78"/>
      <c r="H21" s="82"/>
      <c r="I21" s="49"/>
      <c r="J21" s="51"/>
      <c r="K21" s="51"/>
      <c r="L21" s="51"/>
      <c r="M21" s="51"/>
      <c r="N21" s="86"/>
      <c r="O21" s="74"/>
      <c r="P21" s="52"/>
      <c r="Q21" s="49"/>
      <c r="R21" s="53"/>
      <c r="S21" s="50"/>
      <c r="T21" s="70"/>
    </row>
    <row r="22" spans="1:20" ht="18.75" customHeight="1" x14ac:dyDescent="0.15">
      <c r="A22" s="359"/>
      <c r="B22" s="75" t="s">
        <v>38</v>
      </c>
      <c r="C22" s="54" t="s">
        <v>101</v>
      </c>
      <c r="D22" s="55"/>
      <c r="E22" s="56">
        <v>3</v>
      </c>
      <c r="F22" s="57" t="s">
        <v>29</v>
      </c>
      <c r="G22" s="79" t="s">
        <v>39</v>
      </c>
      <c r="H22" s="83" t="s">
        <v>101</v>
      </c>
      <c r="I22" s="55"/>
      <c r="J22" s="57">
        <f>ROUNDUP(E22*0.75,2)</f>
        <v>2.25</v>
      </c>
      <c r="K22" s="57" t="s">
        <v>29</v>
      </c>
      <c r="L22" s="57" t="s">
        <v>39</v>
      </c>
      <c r="M22" s="57"/>
      <c r="N22" s="87">
        <f>M22</f>
        <v>0</v>
      </c>
      <c r="O22" s="75" t="s">
        <v>19</v>
      </c>
      <c r="P22" s="58" t="s">
        <v>23</v>
      </c>
      <c r="Q22" s="55"/>
      <c r="R22" s="59">
        <v>100</v>
      </c>
      <c r="S22" s="56">
        <f>ROUNDUP(R22*0.75,2)</f>
        <v>75</v>
      </c>
      <c r="T22" s="71" t="e">
        <f>ROUNDUP((R3*R22)+(R4*S22)+(#REF!*(R22*2)),2)</f>
        <v>#REF!</v>
      </c>
    </row>
    <row r="23" spans="1:20" ht="18.75" customHeight="1" x14ac:dyDescent="0.15">
      <c r="A23" s="359"/>
      <c r="B23" s="75"/>
      <c r="C23" s="54" t="s">
        <v>35</v>
      </c>
      <c r="D23" s="55" t="s">
        <v>36</v>
      </c>
      <c r="E23" s="67">
        <v>0.25</v>
      </c>
      <c r="F23" s="57" t="s">
        <v>32</v>
      </c>
      <c r="G23" s="79"/>
      <c r="H23" s="83" t="s">
        <v>35</v>
      </c>
      <c r="I23" s="55" t="s">
        <v>36</v>
      </c>
      <c r="J23" s="57">
        <f>ROUNDUP(E23*0.75,2)</f>
        <v>0.19</v>
      </c>
      <c r="K23" s="57" t="s">
        <v>32</v>
      </c>
      <c r="L23" s="57"/>
      <c r="M23" s="57"/>
      <c r="N23" s="87">
        <f>M23</f>
        <v>0</v>
      </c>
      <c r="O23" s="75"/>
      <c r="P23" s="58" t="s">
        <v>43</v>
      </c>
      <c r="Q23" s="55"/>
      <c r="R23" s="59">
        <v>0.1</v>
      </c>
      <c r="S23" s="56">
        <f>ROUNDUP(R23*0.75,2)</f>
        <v>0.08</v>
      </c>
      <c r="T23" s="71" t="e">
        <f>ROUNDUP((R3*R23)+(R4*S23)+(#REF!*(R23*2)),2)</f>
        <v>#REF!</v>
      </c>
    </row>
    <row r="24" spans="1:20" ht="18.75" customHeight="1" x14ac:dyDescent="0.15">
      <c r="A24" s="359"/>
      <c r="B24" s="75"/>
      <c r="C24" s="54"/>
      <c r="D24" s="55"/>
      <c r="E24" s="56"/>
      <c r="F24" s="57"/>
      <c r="G24" s="79"/>
      <c r="H24" s="83"/>
      <c r="I24" s="55"/>
      <c r="J24" s="57"/>
      <c r="K24" s="57"/>
      <c r="L24" s="57"/>
      <c r="M24" s="57"/>
      <c r="N24" s="87"/>
      <c r="O24" s="75"/>
      <c r="P24" s="58" t="s">
        <v>25</v>
      </c>
      <c r="Q24" s="55" t="s">
        <v>26</v>
      </c>
      <c r="R24" s="59">
        <v>0.5</v>
      </c>
      <c r="S24" s="56">
        <f>ROUNDUP(R24*0.75,2)</f>
        <v>0.38</v>
      </c>
      <c r="T24" s="71" t="e">
        <f>ROUNDUP((R3*R24)+(R4*S24)+(#REF!*(R24*2)),2)</f>
        <v>#REF!</v>
      </c>
    </row>
    <row r="25" spans="1:20" ht="18.75" customHeight="1" x14ac:dyDescent="0.15">
      <c r="A25" s="359"/>
      <c r="B25" s="74"/>
      <c r="C25" s="48"/>
      <c r="D25" s="49"/>
      <c r="E25" s="50"/>
      <c r="F25" s="51"/>
      <c r="G25" s="78"/>
      <c r="H25" s="82"/>
      <c r="I25" s="49"/>
      <c r="J25" s="51"/>
      <c r="K25" s="51"/>
      <c r="L25" s="51"/>
      <c r="M25" s="51"/>
      <c r="N25" s="86"/>
      <c r="O25" s="74"/>
      <c r="P25" s="52"/>
      <c r="Q25" s="49"/>
      <c r="R25" s="53"/>
      <c r="S25" s="50"/>
      <c r="T25" s="70"/>
    </row>
    <row r="26" spans="1:20" ht="18.75" customHeight="1" x14ac:dyDescent="0.15">
      <c r="A26" s="359"/>
      <c r="B26" s="75" t="s">
        <v>142</v>
      </c>
      <c r="C26" s="54" t="s">
        <v>143</v>
      </c>
      <c r="D26" s="55"/>
      <c r="E26" s="91">
        <v>0.125</v>
      </c>
      <c r="F26" s="57" t="s">
        <v>32</v>
      </c>
      <c r="G26" s="79"/>
      <c r="H26" s="83" t="s">
        <v>143</v>
      </c>
      <c r="I26" s="55"/>
      <c r="J26" s="57">
        <f>ROUNDUP(E26*0.75,2)</f>
        <v>9.9999999999999992E-2</v>
      </c>
      <c r="K26" s="57" t="s">
        <v>32</v>
      </c>
      <c r="L26" s="57"/>
      <c r="M26" s="57"/>
      <c r="N26" s="87">
        <f>M26</f>
        <v>0</v>
      </c>
      <c r="O26" s="75" t="s">
        <v>92</v>
      </c>
      <c r="P26" s="58"/>
      <c r="Q26" s="55"/>
      <c r="R26" s="59"/>
      <c r="S26" s="56"/>
      <c r="T26" s="71"/>
    </row>
    <row r="27" spans="1:20" ht="18.75" customHeight="1" thickBot="1" x14ac:dyDescent="0.2">
      <c r="A27" s="360"/>
      <c r="B27" s="76"/>
      <c r="C27" s="61"/>
      <c r="D27" s="62"/>
      <c r="E27" s="63"/>
      <c r="F27" s="64"/>
      <c r="G27" s="80"/>
      <c r="H27" s="84"/>
      <c r="I27" s="62"/>
      <c r="J27" s="64"/>
      <c r="K27" s="64"/>
      <c r="L27" s="64"/>
      <c r="M27" s="64"/>
      <c r="N27" s="88"/>
      <c r="O27" s="76"/>
      <c r="P27" s="65"/>
      <c r="Q27" s="62"/>
      <c r="R27" s="66"/>
      <c r="S27" s="63"/>
      <c r="T27" s="72"/>
    </row>
    <row r="28" spans="1:20" ht="18.75" customHeight="1" x14ac:dyDescent="0.15">
      <c r="Q28" s="396" t="s">
        <v>291</v>
      </c>
      <c r="R28" s="396"/>
      <c r="S28" s="396"/>
      <c r="T28" s="396"/>
    </row>
  </sheetData>
  <mergeCells count="6">
    <mergeCell ref="Q28:T28"/>
    <mergeCell ref="H1:O1"/>
    <mergeCell ref="A2:T2"/>
    <mergeCell ref="A5:F5"/>
    <mergeCell ref="A7:A27"/>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379</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378</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330</v>
      </c>
      <c r="C9" s="96" t="s">
        <v>134</v>
      </c>
      <c r="D9" s="96" t="s">
        <v>135</v>
      </c>
      <c r="E9" s="55"/>
      <c r="F9" s="121"/>
      <c r="G9" s="136"/>
      <c r="H9" s="147">
        <v>0.7</v>
      </c>
      <c r="I9" s="127" t="s">
        <v>330</v>
      </c>
      <c r="J9" s="96" t="s">
        <v>134</v>
      </c>
      <c r="K9" s="146">
        <v>0.3</v>
      </c>
      <c r="L9" s="136" t="s">
        <v>329</v>
      </c>
      <c r="M9" s="96" t="s">
        <v>83</v>
      </c>
      <c r="N9" s="115">
        <v>20</v>
      </c>
      <c r="O9" s="111"/>
    </row>
    <row r="10" spans="1:21" ht="20.100000000000001" customHeight="1" x14ac:dyDescent="0.15">
      <c r="A10" s="379"/>
      <c r="B10" s="96"/>
      <c r="C10" s="96" t="s">
        <v>83</v>
      </c>
      <c r="D10" s="96"/>
      <c r="E10" s="55"/>
      <c r="F10" s="121"/>
      <c r="G10" s="136"/>
      <c r="H10" s="115">
        <v>20</v>
      </c>
      <c r="I10" s="127"/>
      <c r="J10" s="96" t="s">
        <v>83</v>
      </c>
      <c r="K10" s="141">
        <v>20</v>
      </c>
      <c r="L10" s="135"/>
      <c r="M10" s="97"/>
      <c r="N10" s="114"/>
      <c r="O10" s="110"/>
    </row>
    <row r="11" spans="1:21" ht="20.100000000000001" customHeight="1" x14ac:dyDescent="0.15">
      <c r="A11" s="379"/>
      <c r="B11" s="96"/>
      <c r="C11" s="96" t="s">
        <v>136</v>
      </c>
      <c r="D11" s="96"/>
      <c r="E11" s="55"/>
      <c r="F11" s="121"/>
      <c r="G11" s="136"/>
      <c r="H11" s="115">
        <v>5</v>
      </c>
      <c r="I11" s="127"/>
      <c r="J11" s="96" t="s">
        <v>136</v>
      </c>
      <c r="K11" s="141">
        <v>5</v>
      </c>
      <c r="L11" s="136" t="s">
        <v>328</v>
      </c>
      <c r="M11" s="96" t="s">
        <v>124</v>
      </c>
      <c r="N11" s="115">
        <v>10</v>
      </c>
      <c r="O11" s="111"/>
    </row>
    <row r="12" spans="1:21" ht="20.100000000000001" customHeight="1" x14ac:dyDescent="0.15">
      <c r="A12" s="379"/>
      <c r="B12" s="96"/>
      <c r="C12" s="96"/>
      <c r="D12" s="96"/>
      <c r="E12" s="55"/>
      <c r="F12" s="121"/>
      <c r="G12" s="136" t="s">
        <v>23</v>
      </c>
      <c r="H12" s="115" t="s">
        <v>292</v>
      </c>
      <c r="I12" s="127"/>
      <c r="J12" s="96"/>
      <c r="K12" s="141"/>
      <c r="L12" s="136"/>
      <c r="M12" s="96" t="s">
        <v>61</v>
      </c>
      <c r="N12" s="115">
        <v>5</v>
      </c>
      <c r="O12" s="111"/>
    </row>
    <row r="13" spans="1:21" ht="20.100000000000001" customHeight="1" x14ac:dyDescent="0.15">
      <c r="A13" s="379"/>
      <c r="B13" s="96"/>
      <c r="C13" s="96"/>
      <c r="D13" s="96"/>
      <c r="E13" s="55"/>
      <c r="F13" s="121"/>
      <c r="G13" s="136" t="s">
        <v>24</v>
      </c>
      <c r="H13" s="115" t="s">
        <v>294</v>
      </c>
      <c r="I13" s="127"/>
      <c r="J13" s="96"/>
      <c r="K13" s="141"/>
      <c r="L13" s="135"/>
      <c r="M13" s="97"/>
      <c r="N13" s="114"/>
      <c r="O13" s="110"/>
    </row>
    <row r="14" spans="1:21" ht="20.100000000000001" customHeight="1" x14ac:dyDescent="0.15">
      <c r="A14" s="379"/>
      <c r="B14" s="96"/>
      <c r="C14" s="96"/>
      <c r="D14" s="96"/>
      <c r="E14" s="55"/>
      <c r="F14" s="121" t="s">
        <v>26</v>
      </c>
      <c r="G14" s="136" t="s">
        <v>25</v>
      </c>
      <c r="H14" s="115" t="s">
        <v>294</v>
      </c>
      <c r="I14" s="127"/>
      <c r="J14" s="96"/>
      <c r="K14" s="141"/>
      <c r="L14" s="136" t="s">
        <v>327</v>
      </c>
      <c r="M14" s="96" t="s">
        <v>143</v>
      </c>
      <c r="N14" s="118">
        <v>0.08</v>
      </c>
      <c r="O14" s="111"/>
    </row>
    <row r="15" spans="1:21" ht="20.100000000000001" customHeight="1" x14ac:dyDescent="0.15">
      <c r="A15" s="379"/>
      <c r="B15" s="97"/>
      <c r="C15" s="97"/>
      <c r="D15" s="97"/>
      <c r="E15" s="49"/>
      <c r="F15" s="120"/>
      <c r="G15" s="135"/>
      <c r="H15" s="114"/>
      <c r="I15" s="126"/>
      <c r="J15" s="97"/>
      <c r="K15" s="139"/>
      <c r="L15" s="136"/>
      <c r="M15" s="96"/>
      <c r="N15" s="115"/>
      <c r="O15" s="111"/>
    </row>
    <row r="16" spans="1:21" ht="20.100000000000001" customHeight="1" x14ac:dyDescent="0.15">
      <c r="A16" s="379"/>
      <c r="B16" s="96" t="s">
        <v>326</v>
      </c>
      <c r="C16" s="96" t="s">
        <v>124</v>
      </c>
      <c r="D16" s="96"/>
      <c r="E16" s="55"/>
      <c r="F16" s="121"/>
      <c r="G16" s="136"/>
      <c r="H16" s="115">
        <v>20</v>
      </c>
      <c r="I16" s="127" t="s">
        <v>326</v>
      </c>
      <c r="J16" s="96" t="s">
        <v>124</v>
      </c>
      <c r="K16" s="141">
        <v>10</v>
      </c>
      <c r="L16" s="136"/>
      <c r="M16" s="96"/>
      <c r="N16" s="115"/>
      <c r="O16" s="111"/>
    </row>
    <row r="17" spans="1:15" ht="20.100000000000001" customHeight="1" x14ac:dyDescent="0.15">
      <c r="A17" s="379"/>
      <c r="B17" s="96"/>
      <c r="C17" s="96" t="s">
        <v>84</v>
      </c>
      <c r="D17" s="96"/>
      <c r="E17" s="55"/>
      <c r="F17" s="121"/>
      <c r="G17" s="136"/>
      <c r="H17" s="115">
        <v>5</v>
      </c>
      <c r="I17" s="127"/>
      <c r="J17" s="96" t="s">
        <v>84</v>
      </c>
      <c r="K17" s="141">
        <v>5</v>
      </c>
      <c r="L17" s="136"/>
      <c r="M17" s="96"/>
      <c r="N17" s="115"/>
      <c r="O17" s="111"/>
    </row>
    <row r="18" spans="1:15" ht="20.100000000000001" customHeight="1" x14ac:dyDescent="0.15">
      <c r="A18" s="379"/>
      <c r="B18" s="96"/>
      <c r="C18" s="96" t="s">
        <v>61</v>
      </c>
      <c r="D18" s="96"/>
      <c r="E18" s="55"/>
      <c r="F18" s="121"/>
      <c r="G18" s="136"/>
      <c r="H18" s="115">
        <v>5</v>
      </c>
      <c r="I18" s="127"/>
      <c r="J18" s="96" t="s">
        <v>61</v>
      </c>
      <c r="K18" s="141">
        <v>5</v>
      </c>
      <c r="L18" s="136"/>
      <c r="M18" s="96"/>
      <c r="N18" s="115"/>
      <c r="O18" s="111"/>
    </row>
    <row r="19" spans="1:15" ht="20.100000000000001" customHeight="1" x14ac:dyDescent="0.15">
      <c r="A19" s="379"/>
      <c r="B19" s="97"/>
      <c r="C19" s="97"/>
      <c r="D19" s="97"/>
      <c r="E19" s="49"/>
      <c r="F19" s="145"/>
      <c r="G19" s="135"/>
      <c r="H19" s="114"/>
      <c r="I19" s="126"/>
      <c r="J19" s="97"/>
      <c r="K19" s="139"/>
      <c r="L19" s="136"/>
      <c r="M19" s="96"/>
      <c r="N19" s="115"/>
      <c r="O19" s="111"/>
    </row>
    <row r="20" spans="1:15" ht="20.100000000000001" customHeight="1" x14ac:dyDescent="0.15">
      <c r="A20" s="379"/>
      <c r="B20" s="96" t="s">
        <v>38</v>
      </c>
      <c r="C20" s="96" t="s">
        <v>35</v>
      </c>
      <c r="D20" s="96"/>
      <c r="E20" s="55" t="s">
        <v>36</v>
      </c>
      <c r="F20" s="121"/>
      <c r="G20" s="136"/>
      <c r="H20" s="144">
        <v>0.13</v>
      </c>
      <c r="I20" s="127" t="s">
        <v>38</v>
      </c>
      <c r="J20" s="96" t="s">
        <v>296</v>
      </c>
      <c r="K20" s="143">
        <v>0.13</v>
      </c>
      <c r="L20" s="136"/>
      <c r="M20" s="96"/>
      <c r="N20" s="115"/>
      <c r="O20" s="111"/>
    </row>
    <row r="21" spans="1:15" ht="20.100000000000001" customHeight="1" x14ac:dyDescent="0.15">
      <c r="A21" s="379"/>
      <c r="B21" s="96"/>
      <c r="C21" s="96"/>
      <c r="D21" s="96"/>
      <c r="E21" s="55"/>
      <c r="F21" s="121"/>
      <c r="G21" s="136" t="s">
        <v>23</v>
      </c>
      <c r="H21" s="115" t="s">
        <v>292</v>
      </c>
      <c r="I21" s="127"/>
      <c r="J21" s="96"/>
      <c r="K21" s="141"/>
      <c r="L21" s="136"/>
      <c r="M21" s="96"/>
      <c r="N21" s="115"/>
      <c r="O21" s="111"/>
    </row>
    <row r="22" spans="1:15" ht="20.100000000000001" customHeight="1" x14ac:dyDescent="0.15">
      <c r="A22" s="379"/>
      <c r="B22" s="96"/>
      <c r="C22" s="96"/>
      <c r="D22" s="96"/>
      <c r="E22" s="55"/>
      <c r="F22" s="121" t="s">
        <v>26</v>
      </c>
      <c r="G22" s="136" t="s">
        <v>25</v>
      </c>
      <c r="H22" s="115" t="s">
        <v>294</v>
      </c>
      <c r="I22" s="127"/>
      <c r="J22" s="96"/>
      <c r="K22" s="141"/>
      <c r="L22" s="136"/>
      <c r="M22" s="96"/>
      <c r="N22" s="115"/>
      <c r="O22" s="111"/>
    </row>
    <row r="23" spans="1:15" ht="20.100000000000001" customHeight="1" x14ac:dyDescent="0.15">
      <c r="A23" s="379"/>
      <c r="B23" s="97"/>
      <c r="C23" s="97"/>
      <c r="D23" s="97"/>
      <c r="E23" s="49"/>
      <c r="F23" s="120"/>
      <c r="G23" s="135"/>
      <c r="H23" s="114"/>
      <c r="I23" s="126"/>
      <c r="J23" s="97"/>
      <c r="K23" s="139"/>
      <c r="L23" s="136"/>
      <c r="M23" s="96"/>
      <c r="N23" s="115"/>
      <c r="O23" s="111"/>
    </row>
    <row r="24" spans="1:15" ht="20.100000000000001" customHeight="1" x14ac:dyDescent="0.15">
      <c r="A24" s="379"/>
      <c r="B24" s="96" t="s">
        <v>142</v>
      </c>
      <c r="C24" s="96" t="s">
        <v>143</v>
      </c>
      <c r="D24" s="96"/>
      <c r="E24" s="55"/>
      <c r="F24" s="121"/>
      <c r="G24" s="136"/>
      <c r="H24" s="116">
        <v>0.1</v>
      </c>
      <c r="I24" s="127" t="s">
        <v>142</v>
      </c>
      <c r="J24" s="96" t="s">
        <v>143</v>
      </c>
      <c r="K24" s="140">
        <v>0.1</v>
      </c>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247</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147</v>
      </c>
      <c r="C5" s="42" t="s">
        <v>150</v>
      </c>
      <c r="D5" s="43" t="s">
        <v>40</v>
      </c>
      <c r="E5" s="44">
        <v>40</v>
      </c>
      <c r="F5" s="45" t="s">
        <v>29</v>
      </c>
      <c r="G5" s="77" t="s">
        <v>151</v>
      </c>
      <c r="H5" s="81" t="s">
        <v>150</v>
      </c>
      <c r="I5" s="43" t="s">
        <v>40</v>
      </c>
      <c r="J5" s="45">
        <f t="shared" ref="J5:J11" si="0">ROUNDUP(E5*0.75,2)</f>
        <v>30</v>
      </c>
      <c r="K5" s="45" t="s">
        <v>29</v>
      </c>
      <c r="L5" s="45" t="s">
        <v>151</v>
      </c>
      <c r="M5" s="45"/>
      <c r="N5" s="85">
        <f>M5</f>
        <v>0</v>
      </c>
      <c r="O5" s="73" t="s">
        <v>123</v>
      </c>
      <c r="P5" s="46" t="s">
        <v>23</v>
      </c>
      <c r="Q5" s="43"/>
      <c r="R5" s="47">
        <v>130</v>
      </c>
      <c r="S5" s="44">
        <f>ROUNDUP(R5*0.75,2)</f>
        <v>97.5</v>
      </c>
      <c r="T5" s="69" t="e">
        <f>ROUNDUP((#REF!*R5)+(#REF!*S5)+(#REF!*(R5*2)),2)</f>
        <v>#REF!</v>
      </c>
    </row>
    <row r="6" spans="1:21" ht="18.75" customHeight="1" x14ac:dyDescent="0.15">
      <c r="A6" s="359"/>
      <c r="B6" s="75"/>
      <c r="C6" s="54" t="s">
        <v>75</v>
      </c>
      <c r="D6" s="55"/>
      <c r="E6" s="56">
        <v>30</v>
      </c>
      <c r="F6" s="57" t="s">
        <v>29</v>
      </c>
      <c r="G6" s="79" t="s">
        <v>55</v>
      </c>
      <c r="H6" s="83" t="s">
        <v>75</v>
      </c>
      <c r="I6" s="55"/>
      <c r="J6" s="57">
        <f t="shared" si="0"/>
        <v>22.5</v>
      </c>
      <c r="K6" s="57" t="s">
        <v>29</v>
      </c>
      <c r="L6" s="57" t="s">
        <v>55</v>
      </c>
      <c r="M6" s="57"/>
      <c r="N6" s="87">
        <f>M6</f>
        <v>0</v>
      </c>
      <c r="O6" s="75" t="s">
        <v>148</v>
      </c>
      <c r="P6" s="58" t="s">
        <v>27</v>
      </c>
      <c r="Q6" s="55"/>
      <c r="R6" s="59">
        <v>2</v>
      </c>
      <c r="S6" s="56">
        <f>ROUNDUP(R6*0.75,2)</f>
        <v>1.5</v>
      </c>
      <c r="T6" s="71" t="e">
        <f>ROUNDUP((#REF!*R6)+(#REF!*S6)+(#REF!*(R6*2)),2)</f>
        <v>#REF!</v>
      </c>
    </row>
    <row r="7" spans="1:21" ht="18.75" customHeight="1" x14ac:dyDescent="0.15">
      <c r="A7" s="359"/>
      <c r="B7" s="75"/>
      <c r="C7" s="54" t="s">
        <v>33</v>
      </c>
      <c r="D7" s="55"/>
      <c r="E7" s="56">
        <v>20</v>
      </c>
      <c r="F7" s="57" t="s">
        <v>29</v>
      </c>
      <c r="G7" s="79"/>
      <c r="H7" s="83" t="s">
        <v>33</v>
      </c>
      <c r="I7" s="55"/>
      <c r="J7" s="57">
        <f t="shared" si="0"/>
        <v>15</v>
      </c>
      <c r="K7" s="57" t="s">
        <v>29</v>
      </c>
      <c r="L7" s="57"/>
      <c r="M7" s="57"/>
      <c r="N7" s="87">
        <f>ROUND(M7+(M7*6/100),2)</f>
        <v>0</v>
      </c>
      <c r="O7" s="75" t="s">
        <v>149</v>
      </c>
      <c r="P7" s="58" t="s">
        <v>43</v>
      </c>
      <c r="Q7" s="55"/>
      <c r="R7" s="59">
        <v>0.1</v>
      </c>
      <c r="S7" s="56">
        <f>ROUNDUP(R7*0.75,2)</f>
        <v>0.08</v>
      </c>
      <c r="T7" s="71" t="e">
        <f>ROUNDUP((#REF!*R7)+(#REF!*S7)+(#REF!*(R7*2)),2)</f>
        <v>#REF!</v>
      </c>
    </row>
    <row r="8" spans="1:21" ht="18.75" customHeight="1" x14ac:dyDescent="0.15">
      <c r="A8" s="359"/>
      <c r="B8" s="75"/>
      <c r="C8" s="54" t="s">
        <v>61</v>
      </c>
      <c r="D8" s="55"/>
      <c r="E8" s="56">
        <v>10</v>
      </c>
      <c r="F8" s="57" t="s">
        <v>29</v>
      </c>
      <c r="G8" s="79"/>
      <c r="H8" s="83" t="s">
        <v>61</v>
      </c>
      <c r="I8" s="55"/>
      <c r="J8" s="57">
        <f t="shared" si="0"/>
        <v>7.5</v>
      </c>
      <c r="K8" s="57" t="s">
        <v>29</v>
      </c>
      <c r="L8" s="57"/>
      <c r="M8" s="57"/>
      <c r="N8" s="87">
        <f>ROUND(M8+(M8*3/100),2)</f>
        <v>0</v>
      </c>
      <c r="O8" s="75" t="s">
        <v>19</v>
      </c>
      <c r="P8" s="58" t="s">
        <v>25</v>
      </c>
      <c r="Q8" s="55" t="s">
        <v>26</v>
      </c>
      <c r="R8" s="59">
        <v>3.5</v>
      </c>
      <c r="S8" s="56">
        <f>ROUNDUP(R8*0.75,2)</f>
        <v>2.63</v>
      </c>
      <c r="T8" s="71" t="e">
        <f>ROUNDUP((#REF!*R8)+(#REF!*S8)+(#REF!*(R8*2)),2)</f>
        <v>#REF!</v>
      </c>
    </row>
    <row r="9" spans="1:21" ht="18.75" customHeight="1" x14ac:dyDescent="0.15">
      <c r="A9" s="359"/>
      <c r="B9" s="75"/>
      <c r="C9" s="54" t="s">
        <v>145</v>
      </c>
      <c r="D9" s="55"/>
      <c r="E9" s="56">
        <v>5</v>
      </c>
      <c r="F9" s="57" t="s">
        <v>29</v>
      </c>
      <c r="G9" s="79"/>
      <c r="H9" s="83" t="s">
        <v>145</v>
      </c>
      <c r="I9" s="55"/>
      <c r="J9" s="57">
        <f t="shared" si="0"/>
        <v>3.75</v>
      </c>
      <c r="K9" s="57" t="s">
        <v>29</v>
      </c>
      <c r="L9" s="57"/>
      <c r="M9" s="57"/>
      <c r="N9" s="87">
        <f>ROUND(M9+(M9*10/100),2)</f>
        <v>0</v>
      </c>
      <c r="O9" s="75"/>
      <c r="P9" s="58"/>
      <c r="Q9" s="55"/>
      <c r="R9" s="59"/>
      <c r="S9" s="56"/>
      <c r="T9" s="71"/>
    </row>
    <row r="10" spans="1:21" ht="18.75" customHeight="1" x14ac:dyDescent="0.15">
      <c r="A10" s="359"/>
      <c r="B10" s="75"/>
      <c r="C10" s="54" t="s">
        <v>101</v>
      </c>
      <c r="D10" s="55"/>
      <c r="E10" s="56">
        <v>10</v>
      </c>
      <c r="F10" s="57" t="s">
        <v>29</v>
      </c>
      <c r="G10" s="79" t="s">
        <v>39</v>
      </c>
      <c r="H10" s="83" t="s">
        <v>101</v>
      </c>
      <c r="I10" s="55"/>
      <c r="J10" s="57">
        <f t="shared" si="0"/>
        <v>7.5</v>
      </c>
      <c r="K10" s="57" t="s">
        <v>29</v>
      </c>
      <c r="L10" s="57" t="s">
        <v>39</v>
      </c>
      <c r="M10" s="57"/>
      <c r="N10" s="87">
        <f>M10</f>
        <v>0</v>
      </c>
      <c r="O10" s="75"/>
      <c r="P10" s="58"/>
      <c r="Q10" s="55"/>
      <c r="R10" s="59"/>
      <c r="S10" s="56"/>
      <c r="T10" s="71"/>
    </row>
    <row r="11" spans="1:21" ht="18.75" customHeight="1" x14ac:dyDescent="0.15">
      <c r="A11" s="359"/>
      <c r="B11" s="75"/>
      <c r="C11" s="54" t="s">
        <v>152</v>
      </c>
      <c r="D11" s="55"/>
      <c r="E11" s="56">
        <v>2</v>
      </c>
      <c r="F11" s="57" t="s">
        <v>29</v>
      </c>
      <c r="G11" s="79"/>
      <c r="H11" s="83" t="s">
        <v>152</v>
      </c>
      <c r="I11" s="55"/>
      <c r="J11" s="57">
        <f t="shared" si="0"/>
        <v>1.5</v>
      </c>
      <c r="K11" s="57" t="s">
        <v>29</v>
      </c>
      <c r="L11" s="57"/>
      <c r="M11" s="57"/>
      <c r="N11" s="87">
        <f>ROUND(M11+(M11*10/100),2)</f>
        <v>0</v>
      </c>
      <c r="O11" s="75"/>
      <c r="P11" s="58"/>
      <c r="Q11" s="55"/>
      <c r="R11" s="59"/>
      <c r="S11" s="56"/>
      <c r="T11" s="71"/>
    </row>
    <row r="12" spans="1:21" ht="18.75" customHeight="1" x14ac:dyDescent="0.15">
      <c r="A12" s="359"/>
      <c r="B12" s="74"/>
      <c r="C12" s="48"/>
      <c r="D12" s="49"/>
      <c r="E12" s="50"/>
      <c r="F12" s="51"/>
      <c r="G12" s="78"/>
      <c r="H12" s="82"/>
      <c r="I12" s="49"/>
      <c r="J12" s="51"/>
      <c r="K12" s="51"/>
      <c r="L12" s="51"/>
      <c r="M12" s="51"/>
      <c r="N12" s="86"/>
      <c r="O12" s="74"/>
      <c r="P12" s="52"/>
      <c r="Q12" s="49"/>
      <c r="R12" s="53"/>
      <c r="S12" s="50"/>
      <c r="T12" s="70"/>
    </row>
    <row r="13" spans="1:21" ht="18.75" customHeight="1" x14ac:dyDescent="0.15">
      <c r="A13" s="359"/>
      <c r="B13" s="75" t="s">
        <v>153</v>
      </c>
      <c r="C13" s="54" t="s">
        <v>58</v>
      </c>
      <c r="D13" s="55"/>
      <c r="E13" s="89">
        <v>0.16666666666666666</v>
      </c>
      <c r="F13" s="57" t="s">
        <v>59</v>
      </c>
      <c r="G13" s="79" t="s">
        <v>39</v>
      </c>
      <c r="H13" s="83" t="s">
        <v>58</v>
      </c>
      <c r="I13" s="55"/>
      <c r="J13" s="57">
        <f>ROUNDUP(E13*0.75,2)</f>
        <v>0.13</v>
      </c>
      <c r="K13" s="57" t="s">
        <v>59</v>
      </c>
      <c r="L13" s="57" t="s">
        <v>39</v>
      </c>
      <c r="M13" s="57"/>
      <c r="N13" s="87">
        <f>M13</f>
        <v>0</v>
      </c>
      <c r="O13" s="75" t="s">
        <v>266</v>
      </c>
      <c r="P13" s="58" t="s">
        <v>24</v>
      </c>
      <c r="Q13" s="55"/>
      <c r="R13" s="59">
        <v>1.3</v>
      </c>
      <c r="S13" s="56">
        <f>ROUNDUP(R13*0.75,2)</f>
        <v>0.98</v>
      </c>
      <c r="T13" s="71" t="e">
        <f>ROUNDUP((#REF!*R13)+(#REF!*S13)+(#REF!*(R13*2)),2)</f>
        <v>#REF!</v>
      </c>
    </row>
    <row r="14" spans="1:21" ht="18.75" customHeight="1" x14ac:dyDescent="0.15">
      <c r="A14" s="359"/>
      <c r="B14" s="75"/>
      <c r="C14" s="54" t="s">
        <v>60</v>
      </c>
      <c r="D14" s="55"/>
      <c r="E14" s="56">
        <v>10</v>
      </c>
      <c r="F14" s="57" t="s">
        <v>29</v>
      </c>
      <c r="G14" s="79" t="s">
        <v>31</v>
      </c>
      <c r="H14" s="83" t="s">
        <v>60</v>
      </c>
      <c r="I14" s="55"/>
      <c r="J14" s="57">
        <f>ROUNDUP(E14*0.75,2)</f>
        <v>7.5</v>
      </c>
      <c r="K14" s="57" t="s">
        <v>29</v>
      </c>
      <c r="L14" s="57" t="s">
        <v>31</v>
      </c>
      <c r="M14" s="57"/>
      <c r="N14" s="87">
        <f>M14</f>
        <v>0</v>
      </c>
      <c r="O14" s="75" t="s">
        <v>267</v>
      </c>
      <c r="P14" s="58" t="s">
        <v>25</v>
      </c>
      <c r="Q14" s="55" t="s">
        <v>26</v>
      </c>
      <c r="R14" s="59">
        <v>1.5</v>
      </c>
      <c r="S14" s="56">
        <f>ROUNDUP(R14*0.75,2)</f>
        <v>1.1300000000000001</v>
      </c>
      <c r="T14" s="71" t="e">
        <f>ROUNDUP((#REF!*R14)+(#REF!*S14)+(#REF!*(R14*2)),2)</f>
        <v>#REF!</v>
      </c>
    </row>
    <row r="15" spans="1:21" ht="18.75" customHeight="1" x14ac:dyDescent="0.15">
      <c r="A15" s="359"/>
      <c r="B15" s="75"/>
      <c r="C15" s="54" t="s">
        <v>155</v>
      </c>
      <c r="D15" s="55"/>
      <c r="E15" s="56">
        <v>10</v>
      </c>
      <c r="F15" s="57" t="s">
        <v>29</v>
      </c>
      <c r="G15" s="79"/>
      <c r="H15" s="83" t="s">
        <v>155</v>
      </c>
      <c r="I15" s="55"/>
      <c r="J15" s="57">
        <f>ROUNDUP(E15*0.75,2)</f>
        <v>7.5</v>
      </c>
      <c r="K15" s="57" t="s">
        <v>29</v>
      </c>
      <c r="L15" s="57"/>
      <c r="M15" s="57"/>
      <c r="N15" s="87">
        <f>ROUND(M15+(M15*3/100),2)</f>
        <v>0</v>
      </c>
      <c r="O15" s="75" t="s">
        <v>154</v>
      </c>
      <c r="P15" s="58" t="s">
        <v>57</v>
      </c>
      <c r="Q15" s="55"/>
      <c r="R15" s="59">
        <v>1.5</v>
      </c>
      <c r="S15" s="56">
        <f>ROUNDUP(R15*0.75,2)</f>
        <v>1.1300000000000001</v>
      </c>
      <c r="T15" s="71" t="e">
        <f>ROUNDUP((#REF!*R15)+(#REF!*S15)+(#REF!*(R15*2)),2)</f>
        <v>#REF!</v>
      </c>
    </row>
    <row r="16" spans="1:21" ht="18.75" customHeight="1" x14ac:dyDescent="0.15">
      <c r="A16" s="359"/>
      <c r="B16" s="75"/>
      <c r="C16" s="54" t="s">
        <v>85</v>
      </c>
      <c r="D16" s="55"/>
      <c r="E16" s="56">
        <v>10</v>
      </c>
      <c r="F16" s="57" t="s">
        <v>29</v>
      </c>
      <c r="G16" s="79" t="s">
        <v>86</v>
      </c>
      <c r="H16" s="83" t="s">
        <v>85</v>
      </c>
      <c r="I16" s="55"/>
      <c r="J16" s="57">
        <f>ROUNDUP(E16*0.75,2)</f>
        <v>7.5</v>
      </c>
      <c r="K16" s="57" t="s">
        <v>29</v>
      </c>
      <c r="L16" s="57" t="s">
        <v>86</v>
      </c>
      <c r="M16" s="57"/>
      <c r="N16" s="87">
        <f>M16</f>
        <v>0</v>
      </c>
      <c r="O16" s="75" t="s">
        <v>19</v>
      </c>
      <c r="P16" s="58" t="s">
        <v>62</v>
      </c>
      <c r="Q16" s="55"/>
      <c r="R16" s="59">
        <v>2</v>
      </c>
      <c r="S16" s="56">
        <f>ROUNDUP(R16*0.75,2)</f>
        <v>1.5</v>
      </c>
      <c r="T16" s="71" t="e">
        <f>ROUNDUP((#REF!*R16)+(#REF!*S16)+(#REF!*(R16*2)),2)</f>
        <v>#REF!</v>
      </c>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91</v>
      </c>
      <c r="C18" s="54" t="s">
        <v>93</v>
      </c>
      <c r="D18" s="55"/>
      <c r="E18" s="89">
        <v>0.16666666666666666</v>
      </c>
      <c r="F18" s="57" t="s">
        <v>32</v>
      </c>
      <c r="G18" s="79"/>
      <c r="H18" s="83" t="s">
        <v>93</v>
      </c>
      <c r="I18" s="55"/>
      <c r="J18" s="57">
        <f>ROUNDUP(E18*0.75,2)</f>
        <v>0.13</v>
      </c>
      <c r="K18" s="57" t="s">
        <v>32</v>
      </c>
      <c r="L18" s="57"/>
      <c r="M18" s="57"/>
      <c r="N18" s="87">
        <f>M18</f>
        <v>0</v>
      </c>
      <c r="O18" s="75" t="s">
        <v>92</v>
      </c>
      <c r="P18" s="58"/>
      <c r="Q18" s="55"/>
      <c r="R18" s="59"/>
      <c r="S18" s="56"/>
      <c r="T18" s="71"/>
    </row>
    <row r="19" spans="1:20" ht="18.75" customHeight="1" thickBot="1" x14ac:dyDescent="0.2">
      <c r="A19" s="360"/>
      <c r="B19" s="76"/>
      <c r="C19" s="61"/>
      <c r="D19" s="62"/>
      <c r="E19" s="63"/>
      <c r="F19" s="64"/>
      <c r="G19" s="80"/>
      <c r="H19" s="84"/>
      <c r="I19" s="62"/>
      <c r="J19" s="64"/>
      <c r="K19" s="64"/>
      <c r="L19" s="64"/>
      <c r="M19" s="64"/>
      <c r="N19" s="88"/>
      <c r="O19" s="76"/>
      <c r="P19" s="65"/>
      <c r="Q19" s="62"/>
      <c r="R19" s="66"/>
      <c r="S19" s="63"/>
      <c r="T19" s="72"/>
    </row>
  </sheetData>
  <mergeCells count="4">
    <mergeCell ref="H1:O1"/>
    <mergeCell ref="A2:T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381</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358</v>
      </c>
      <c r="I5" s="371" t="s">
        <v>309</v>
      </c>
      <c r="J5" s="372"/>
      <c r="K5" s="372"/>
      <c r="L5" s="373" t="s">
        <v>357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337</v>
      </c>
      <c r="C7" s="99" t="s">
        <v>75</v>
      </c>
      <c r="D7" s="99" t="s">
        <v>55</v>
      </c>
      <c r="E7" s="43"/>
      <c r="F7" s="119"/>
      <c r="G7" s="134"/>
      <c r="H7" s="113">
        <v>15</v>
      </c>
      <c r="I7" s="125" t="s">
        <v>337</v>
      </c>
      <c r="J7" s="108" t="s">
        <v>167</v>
      </c>
      <c r="K7" s="138">
        <v>15</v>
      </c>
      <c r="L7" s="134" t="s">
        <v>336</v>
      </c>
      <c r="M7" s="99" t="s">
        <v>150</v>
      </c>
      <c r="N7" s="113">
        <v>10</v>
      </c>
      <c r="O7" s="109" t="s">
        <v>151</v>
      </c>
    </row>
    <row r="8" spans="1:21" ht="20.100000000000001" customHeight="1" x14ac:dyDescent="0.15">
      <c r="A8" s="379"/>
      <c r="B8" s="96"/>
      <c r="C8" s="96" t="s">
        <v>150</v>
      </c>
      <c r="D8" s="96" t="s">
        <v>151</v>
      </c>
      <c r="E8" s="55" t="s">
        <v>380</v>
      </c>
      <c r="F8" s="121"/>
      <c r="G8" s="136"/>
      <c r="H8" s="115">
        <v>20</v>
      </c>
      <c r="I8" s="127"/>
      <c r="J8" s="96" t="s">
        <v>150</v>
      </c>
      <c r="K8" s="141">
        <v>10</v>
      </c>
      <c r="L8" s="135"/>
      <c r="M8" s="97"/>
      <c r="N8" s="114"/>
      <c r="O8" s="110"/>
    </row>
    <row r="9" spans="1:21" ht="20.100000000000001" customHeight="1" x14ac:dyDescent="0.15">
      <c r="A9" s="379"/>
      <c r="B9" s="96"/>
      <c r="C9" s="96" t="s">
        <v>33</v>
      </c>
      <c r="D9" s="96"/>
      <c r="E9" s="55"/>
      <c r="F9" s="121"/>
      <c r="G9" s="136"/>
      <c r="H9" s="115">
        <v>20</v>
      </c>
      <c r="I9" s="127"/>
      <c r="J9" s="96" t="s">
        <v>33</v>
      </c>
      <c r="K9" s="141">
        <v>10</v>
      </c>
      <c r="L9" s="136" t="s">
        <v>334</v>
      </c>
      <c r="M9" s="96" t="s">
        <v>58</v>
      </c>
      <c r="N9" s="116">
        <v>0.1</v>
      </c>
      <c r="O9" s="111" t="s">
        <v>39</v>
      </c>
    </row>
    <row r="10" spans="1:21" ht="20.100000000000001" customHeight="1" x14ac:dyDescent="0.15">
      <c r="A10" s="379"/>
      <c r="B10" s="96"/>
      <c r="C10" s="96" t="s">
        <v>61</v>
      </c>
      <c r="D10" s="96"/>
      <c r="E10" s="55"/>
      <c r="F10" s="121"/>
      <c r="G10" s="136"/>
      <c r="H10" s="115">
        <v>5</v>
      </c>
      <c r="I10" s="127"/>
      <c r="J10" s="96" t="s">
        <v>61</v>
      </c>
      <c r="K10" s="141">
        <v>5</v>
      </c>
      <c r="L10" s="136"/>
      <c r="M10" s="96" t="s">
        <v>60</v>
      </c>
      <c r="N10" s="115">
        <v>10</v>
      </c>
      <c r="O10" s="111" t="s">
        <v>31</v>
      </c>
    </row>
    <row r="11" spans="1:21" ht="20.100000000000001" customHeight="1" x14ac:dyDescent="0.15">
      <c r="A11" s="379"/>
      <c r="B11" s="96"/>
      <c r="C11" s="96" t="s">
        <v>145</v>
      </c>
      <c r="D11" s="96"/>
      <c r="E11" s="55"/>
      <c r="F11" s="121"/>
      <c r="G11" s="136"/>
      <c r="H11" s="115">
        <v>5</v>
      </c>
      <c r="I11" s="127"/>
      <c r="J11" s="96"/>
      <c r="K11" s="141"/>
      <c r="L11" s="136"/>
      <c r="M11" s="96" t="s">
        <v>155</v>
      </c>
      <c r="N11" s="115">
        <v>10</v>
      </c>
      <c r="O11" s="111"/>
    </row>
    <row r="12" spans="1:21" ht="20.100000000000001" customHeight="1" x14ac:dyDescent="0.15">
      <c r="A12" s="379"/>
      <c r="B12" s="96"/>
      <c r="C12" s="96"/>
      <c r="D12" s="96"/>
      <c r="E12" s="55"/>
      <c r="F12" s="121"/>
      <c r="G12" s="136" t="s">
        <v>23</v>
      </c>
      <c r="H12" s="115" t="s">
        <v>292</v>
      </c>
      <c r="I12" s="127"/>
      <c r="J12" s="96"/>
      <c r="K12" s="141"/>
      <c r="L12" s="135"/>
      <c r="M12" s="97"/>
      <c r="N12" s="114"/>
      <c r="O12" s="110"/>
    </row>
    <row r="13" spans="1:21" ht="20.100000000000001" customHeight="1" x14ac:dyDescent="0.15">
      <c r="A13" s="379"/>
      <c r="B13" s="96"/>
      <c r="C13" s="96"/>
      <c r="D13" s="96"/>
      <c r="E13" s="55"/>
      <c r="F13" s="121" t="s">
        <v>26</v>
      </c>
      <c r="G13" s="136" t="s">
        <v>25</v>
      </c>
      <c r="H13" s="115" t="s">
        <v>294</v>
      </c>
      <c r="I13" s="127"/>
      <c r="J13" s="96"/>
      <c r="K13" s="141"/>
      <c r="L13" s="136" t="s">
        <v>333</v>
      </c>
      <c r="M13" s="96" t="s">
        <v>33</v>
      </c>
      <c r="N13" s="115">
        <v>10</v>
      </c>
      <c r="O13" s="111"/>
    </row>
    <row r="14" spans="1:21" ht="20.100000000000001" customHeight="1" x14ac:dyDescent="0.15">
      <c r="A14" s="379"/>
      <c r="B14" s="96"/>
      <c r="C14" s="96"/>
      <c r="D14" s="96"/>
      <c r="E14" s="55"/>
      <c r="F14" s="121"/>
      <c r="G14" s="136" t="s">
        <v>24</v>
      </c>
      <c r="H14" s="115" t="s">
        <v>294</v>
      </c>
      <c r="I14" s="127"/>
      <c r="J14" s="96"/>
      <c r="K14" s="141"/>
      <c r="L14" s="136"/>
      <c r="M14" s="96" t="s">
        <v>61</v>
      </c>
      <c r="N14" s="115">
        <v>5</v>
      </c>
      <c r="O14" s="111"/>
    </row>
    <row r="15" spans="1:21" ht="20.100000000000001" customHeight="1" x14ac:dyDescent="0.15">
      <c r="A15" s="379"/>
      <c r="B15" s="97"/>
      <c r="C15" s="97"/>
      <c r="D15" s="97"/>
      <c r="E15" s="49"/>
      <c r="F15" s="120"/>
      <c r="G15" s="135"/>
      <c r="H15" s="114"/>
      <c r="I15" s="126"/>
      <c r="J15" s="97"/>
      <c r="K15" s="139"/>
      <c r="L15" s="135"/>
      <c r="M15" s="97"/>
      <c r="N15" s="114"/>
      <c r="O15" s="110"/>
    </row>
    <row r="16" spans="1:21" ht="20.100000000000001" customHeight="1" x14ac:dyDescent="0.15">
      <c r="A16" s="379"/>
      <c r="B16" s="96" t="s">
        <v>332</v>
      </c>
      <c r="C16" s="96" t="s">
        <v>58</v>
      </c>
      <c r="D16" s="96" t="s">
        <v>39</v>
      </c>
      <c r="E16" s="55"/>
      <c r="F16" s="121"/>
      <c r="G16" s="136"/>
      <c r="H16" s="116">
        <v>0.1</v>
      </c>
      <c r="I16" s="127" t="s">
        <v>332</v>
      </c>
      <c r="J16" s="96" t="s">
        <v>58</v>
      </c>
      <c r="K16" s="140">
        <v>0.1</v>
      </c>
      <c r="L16" s="136" t="s">
        <v>91</v>
      </c>
      <c r="M16" s="96" t="s">
        <v>93</v>
      </c>
      <c r="N16" s="116">
        <v>0.1</v>
      </c>
      <c r="O16" s="111"/>
    </row>
    <row r="17" spans="1:15" ht="20.100000000000001" customHeight="1" x14ac:dyDescent="0.15">
      <c r="A17" s="379"/>
      <c r="B17" s="96"/>
      <c r="C17" s="96" t="s">
        <v>60</v>
      </c>
      <c r="D17" s="96" t="s">
        <v>31</v>
      </c>
      <c r="E17" s="55"/>
      <c r="F17" s="121"/>
      <c r="G17" s="136"/>
      <c r="H17" s="115">
        <v>10</v>
      </c>
      <c r="I17" s="127"/>
      <c r="J17" s="96" t="s">
        <v>60</v>
      </c>
      <c r="K17" s="141">
        <v>10</v>
      </c>
      <c r="L17" s="136"/>
      <c r="M17" s="96"/>
      <c r="N17" s="115"/>
      <c r="O17" s="111"/>
    </row>
    <row r="18" spans="1:15" ht="20.100000000000001" customHeight="1" x14ac:dyDescent="0.15">
      <c r="A18" s="379"/>
      <c r="B18" s="96"/>
      <c r="C18" s="96" t="s">
        <v>155</v>
      </c>
      <c r="D18" s="96"/>
      <c r="E18" s="55"/>
      <c r="F18" s="121"/>
      <c r="G18" s="136"/>
      <c r="H18" s="115">
        <v>10</v>
      </c>
      <c r="I18" s="127"/>
      <c r="J18" s="96" t="s">
        <v>155</v>
      </c>
      <c r="K18" s="141">
        <v>10</v>
      </c>
      <c r="L18" s="136"/>
      <c r="M18" s="96"/>
      <c r="N18" s="115"/>
      <c r="O18" s="111"/>
    </row>
    <row r="19" spans="1:15" ht="20.100000000000001" customHeight="1" x14ac:dyDescent="0.15">
      <c r="A19" s="379"/>
      <c r="B19" s="97"/>
      <c r="C19" s="97"/>
      <c r="D19" s="97"/>
      <c r="E19" s="49"/>
      <c r="F19" s="145"/>
      <c r="G19" s="135"/>
      <c r="H19" s="114"/>
      <c r="I19" s="126"/>
      <c r="J19" s="97"/>
      <c r="K19" s="139"/>
      <c r="L19" s="136"/>
      <c r="M19" s="96"/>
      <c r="N19" s="115"/>
      <c r="O19" s="111"/>
    </row>
    <row r="20" spans="1:15" ht="20.100000000000001" customHeight="1" x14ac:dyDescent="0.15">
      <c r="A20" s="379"/>
      <c r="B20" s="96" t="s">
        <v>91</v>
      </c>
      <c r="C20" s="96" t="s">
        <v>93</v>
      </c>
      <c r="D20" s="96"/>
      <c r="E20" s="55"/>
      <c r="F20" s="121"/>
      <c r="G20" s="136"/>
      <c r="H20" s="144">
        <v>0.13</v>
      </c>
      <c r="I20" s="127" t="s">
        <v>91</v>
      </c>
      <c r="J20" s="96" t="s">
        <v>93</v>
      </c>
      <c r="K20" s="143">
        <v>0.13</v>
      </c>
      <c r="L20" s="136"/>
      <c r="M20" s="96"/>
      <c r="N20" s="115"/>
      <c r="O20" s="111"/>
    </row>
    <row r="21" spans="1:15" ht="20.100000000000001" customHeight="1" thickBot="1" x14ac:dyDescent="0.2">
      <c r="A21" s="380"/>
      <c r="B21" s="95"/>
      <c r="C21" s="95"/>
      <c r="D21" s="95"/>
      <c r="E21" s="62"/>
      <c r="F21" s="123"/>
      <c r="G21" s="137"/>
      <c r="H21" s="117"/>
      <c r="I21" s="128"/>
      <c r="J21" s="95"/>
      <c r="K21" s="142"/>
      <c r="L21" s="137"/>
      <c r="M21" s="95"/>
      <c r="N21" s="117"/>
      <c r="O21" s="112"/>
    </row>
    <row r="22" spans="1:15" ht="20.100000000000001" customHeight="1" x14ac:dyDescent="0.15">
      <c r="B22" s="94"/>
      <c r="C22" s="94"/>
      <c r="D22" s="94"/>
      <c r="G22" s="94"/>
      <c r="H22" s="93"/>
      <c r="I22" s="94"/>
      <c r="J22" s="94"/>
      <c r="K22" s="93"/>
      <c r="L22" s="94"/>
      <c r="M22" s="94"/>
      <c r="N22" s="93"/>
    </row>
    <row r="23" spans="1:15" ht="20.100000000000001" customHeight="1" x14ac:dyDescent="0.15">
      <c r="B23" s="94"/>
      <c r="C23" s="94"/>
      <c r="D23" s="94"/>
      <c r="G23" s="94"/>
      <c r="H23" s="93"/>
      <c r="I23" s="94"/>
      <c r="J23" s="94"/>
      <c r="K23" s="93"/>
      <c r="L23" s="94"/>
      <c r="M23" s="94"/>
      <c r="N23" s="93"/>
    </row>
    <row r="24" spans="1:15" ht="20.100000000000001" customHeight="1" x14ac:dyDescent="0.15">
      <c r="B24" s="94"/>
      <c r="C24" s="94"/>
      <c r="D24" s="94"/>
      <c r="G24" s="94"/>
      <c r="H24" s="93"/>
      <c r="I24" s="94"/>
      <c r="J24" s="94"/>
      <c r="K24" s="93"/>
      <c r="L24" s="94"/>
      <c r="M24" s="94"/>
      <c r="N24" s="93"/>
    </row>
    <row r="25" spans="1:15" ht="20.100000000000001" customHeight="1" x14ac:dyDescent="0.15">
      <c r="B25" s="94"/>
      <c r="C25" s="94"/>
      <c r="D25" s="94"/>
      <c r="G25" s="94"/>
      <c r="H25" s="93"/>
      <c r="I25" s="94"/>
      <c r="J25" s="94"/>
      <c r="K25" s="93"/>
      <c r="L25" s="94"/>
      <c r="M25" s="94"/>
      <c r="N25" s="93"/>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sheetData>
  <mergeCells count="13">
    <mergeCell ref="A7:A21"/>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248</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t="e">
        <f>ROUNDUP((#REF!*R5)+(#REF!*S5)+(#REF!*(R5*2)),2)</f>
        <v>#REF!</v>
      </c>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160</v>
      </c>
      <c r="C7" s="54" t="s">
        <v>108</v>
      </c>
      <c r="D7" s="55"/>
      <c r="E7" s="56">
        <v>40</v>
      </c>
      <c r="F7" s="57" t="s">
        <v>29</v>
      </c>
      <c r="G7" s="79" t="s">
        <v>55</v>
      </c>
      <c r="H7" s="83" t="s">
        <v>108</v>
      </c>
      <c r="I7" s="55"/>
      <c r="J7" s="57">
        <f>ROUNDUP(E7*0.75,2)</f>
        <v>30</v>
      </c>
      <c r="K7" s="57" t="s">
        <v>29</v>
      </c>
      <c r="L7" s="57" t="s">
        <v>55</v>
      </c>
      <c r="M7" s="57"/>
      <c r="N7" s="87">
        <f>M7</f>
        <v>0</v>
      </c>
      <c r="O7" s="75" t="s">
        <v>161</v>
      </c>
      <c r="P7" s="58" t="s">
        <v>37</v>
      </c>
      <c r="Q7" s="55"/>
      <c r="R7" s="59">
        <v>0.5</v>
      </c>
      <c r="S7" s="56">
        <f t="shared" ref="S7:S12" si="0">ROUNDUP(R7*0.75,2)</f>
        <v>0.38</v>
      </c>
      <c r="T7" s="71" t="e">
        <f>ROUNDUP((#REF!*R7)+(#REF!*S7)+(#REF!*(R7*2)),2)</f>
        <v>#REF!</v>
      </c>
    </row>
    <row r="8" spans="1:21" ht="18.75" customHeight="1" x14ac:dyDescent="0.15">
      <c r="A8" s="359"/>
      <c r="B8" s="75"/>
      <c r="C8" s="54" t="s">
        <v>98</v>
      </c>
      <c r="D8" s="55"/>
      <c r="E8" s="56">
        <v>50</v>
      </c>
      <c r="F8" s="57" t="s">
        <v>29</v>
      </c>
      <c r="G8" s="79"/>
      <c r="H8" s="83" t="s">
        <v>98</v>
      </c>
      <c r="I8" s="55"/>
      <c r="J8" s="57">
        <f>ROUNDUP(E8*0.75,2)</f>
        <v>37.5</v>
      </c>
      <c r="K8" s="57" t="s">
        <v>29</v>
      </c>
      <c r="L8" s="57"/>
      <c r="M8" s="57"/>
      <c r="N8" s="87">
        <f>ROUND(M8+(M8*10/100),2)</f>
        <v>0</v>
      </c>
      <c r="O8" s="75" t="s">
        <v>162</v>
      </c>
      <c r="P8" s="58" t="s">
        <v>22</v>
      </c>
      <c r="Q8" s="55"/>
      <c r="R8" s="59">
        <v>2</v>
      </c>
      <c r="S8" s="56">
        <f t="shared" si="0"/>
        <v>1.5</v>
      </c>
      <c r="T8" s="71" t="e">
        <f>ROUNDUP((#REF!*R8)+(#REF!*S8)+(#REF!*(R8*2)),2)</f>
        <v>#REF!</v>
      </c>
    </row>
    <row r="9" spans="1:21" ht="18.75" customHeight="1" x14ac:dyDescent="0.15">
      <c r="A9" s="359"/>
      <c r="B9" s="75"/>
      <c r="C9" s="54" t="s">
        <v>33</v>
      </c>
      <c r="D9" s="55"/>
      <c r="E9" s="56">
        <v>20</v>
      </c>
      <c r="F9" s="57" t="s">
        <v>29</v>
      </c>
      <c r="G9" s="79"/>
      <c r="H9" s="83" t="s">
        <v>33</v>
      </c>
      <c r="I9" s="55"/>
      <c r="J9" s="57">
        <f>ROUNDUP(E9*0.75,2)</f>
        <v>15</v>
      </c>
      <c r="K9" s="57" t="s">
        <v>29</v>
      </c>
      <c r="L9" s="57"/>
      <c r="M9" s="57"/>
      <c r="N9" s="87">
        <f>ROUND(M9+(M9*6/100),2)</f>
        <v>0</v>
      </c>
      <c r="O9" s="75" t="s">
        <v>19</v>
      </c>
      <c r="P9" s="58" t="s">
        <v>23</v>
      </c>
      <c r="Q9" s="55"/>
      <c r="R9" s="59">
        <v>30</v>
      </c>
      <c r="S9" s="56">
        <f t="shared" si="0"/>
        <v>22.5</v>
      </c>
      <c r="T9" s="71" t="e">
        <f>ROUNDUP((#REF!*R9)+(#REF!*S9)+(#REF!*(R9*2)),2)</f>
        <v>#REF!</v>
      </c>
    </row>
    <row r="10" spans="1:21" ht="18.75" customHeight="1" x14ac:dyDescent="0.15">
      <c r="A10" s="359"/>
      <c r="B10" s="75"/>
      <c r="C10" s="54" t="s">
        <v>61</v>
      </c>
      <c r="D10" s="55"/>
      <c r="E10" s="56">
        <v>10</v>
      </c>
      <c r="F10" s="57" t="s">
        <v>29</v>
      </c>
      <c r="G10" s="79"/>
      <c r="H10" s="83" t="s">
        <v>61</v>
      </c>
      <c r="I10" s="55"/>
      <c r="J10" s="57">
        <f>ROUNDUP(E10*0.75,2)</f>
        <v>7.5</v>
      </c>
      <c r="K10" s="57" t="s">
        <v>29</v>
      </c>
      <c r="L10" s="57"/>
      <c r="M10" s="57"/>
      <c r="N10" s="87">
        <f>ROUND(M10+(M10*3/100),2)</f>
        <v>0</v>
      </c>
      <c r="O10" s="75"/>
      <c r="P10" s="58" t="s">
        <v>24</v>
      </c>
      <c r="Q10" s="55"/>
      <c r="R10" s="59">
        <v>2</v>
      </c>
      <c r="S10" s="56">
        <f t="shared" si="0"/>
        <v>1.5</v>
      </c>
      <c r="T10" s="71" t="e">
        <f>ROUNDUP((#REF!*R10)+(#REF!*S10)+(#REF!*(R10*2)),2)</f>
        <v>#REF!</v>
      </c>
    </row>
    <row r="11" spans="1:21" ht="18.75" customHeight="1" x14ac:dyDescent="0.15">
      <c r="A11" s="359"/>
      <c r="B11" s="75"/>
      <c r="C11" s="54" t="s">
        <v>79</v>
      </c>
      <c r="D11" s="55"/>
      <c r="E11" s="56">
        <v>5</v>
      </c>
      <c r="F11" s="57" t="s">
        <v>29</v>
      </c>
      <c r="G11" s="79" t="s">
        <v>31</v>
      </c>
      <c r="H11" s="83" t="s">
        <v>79</v>
      </c>
      <c r="I11" s="55"/>
      <c r="J11" s="57">
        <f>ROUNDUP(E11*0.75,2)</f>
        <v>3.75</v>
      </c>
      <c r="K11" s="57" t="s">
        <v>29</v>
      </c>
      <c r="L11" s="57" t="s">
        <v>31</v>
      </c>
      <c r="M11" s="57"/>
      <c r="N11" s="87">
        <f>M11</f>
        <v>0</v>
      </c>
      <c r="O11" s="75"/>
      <c r="P11" s="58" t="s">
        <v>27</v>
      </c>
      <c r="Q11" s="55"/>
      <c r="R11" s="59">
        <v>1</v>
      </c>
      <c r="S11" s="56">
        <f t="shared" si="0"/>
        <v>0.75</v>
      </c>
      <c r="T11" s="71" t="e">
        <f>ROUNDUP((#REF!*R11)+(#REF!*S11)+(#REF!*(R11*2)),2)</f>
        <v>#REF!</v>
      </c>
    </row>
    <row r="12" spans="1:21" ht="18.75" customHeight="1" x14ac:dyDescent="0.15">
      <c r="A12" s="359"/>
      <c r="B12" s="75"/>
      <c r="C12" s="54"/>
      <c r="D12" s="55"/>
      <c r="E12" s="56"/>
      <c r="F12" s="57"/>
      <c r="G12" s="79"/>
      <c r="H12" s="83"/>
      <c r="I12" s="55"/>
      <c r="J12" s="57"/>
      <c r="K12" s="57"/>
      <c r="L12" s="57"/>
      <c r="M12" s="57"/>
      <c r="N12" s="87"/>
      <c r="O12" s="75"/>
      <c r="P12" s="58" t="s">
        <v>25</v>
      </c>
      <c r="Q12" s="55" t="s">
        <v>26</v>
      </c>
      <c r="R12" s="59">
        <v>3.6</v>
      </c>
      <c r="S12" s="56">
        <f t="shared" si="0"/>
        <v>2.7</v>
      </c>
      <c r="T12" s="71" t="e">
        <f>ROUNDUP((#REF!*R12)+(#REF!*S12)+(#REF!*(R12*2)),2)</f>
        <v>#REF!</v>
      </c>
    </row>
    <row r="13" spans="1:21" ht="18.75" customHeight="1" x14ac:dyDescent="0.15">
      <c r="A13" s="359"/>
      <c r="B13" s="74"/>
      <c r="C13" s="48"/>
      <c r="D13" s="49"/>
      <c r="E13" s="50"/>
      <c r="F13" s="51"/>
      <c r="G13" s="78"/>
      <c r="H13" s="82"/>
      <c r="I13" s="49"/>
      <c r="J13" s="51"/>
      <c r="K13" s="51"/>
      <c r="L13" s="51"/>
      <c r="M13" s="51"/>
      <c r="N13" s="86"/>
      <c r="O13" s="74"/>
      <c r="P13" s="52"/>
      <c r="Q13" s="49"/>
      <c r="R13" s="53"/>
      <c r="S13" s="50"/>
      <c r="T13" s="70"/>
    </row>
    <row r="14" spans="1:21" ht="18.75" customHeight="1" x14ac:dyDescent="0.15">
      <c r="A14" s="359"/>
      <c r="B14" s="75" t="s">
        <v>163</v>
      </c>
      <c r="C14" s="54" t="s">
        <v>144</v>
      </c>
      <c r="D14" s="55"/>
      <c r="E14" s="56">
        <v>30</v>
      </c>
      <c r="F14" s="57" t="s">
        <v>29</v>
      </c>
      <c r="G14" s="79"/>
      <c r="H14" s="83" t="s">
        <v>144</v>
      </c>
      <c r="I14" s="55"/>
      <c r="J14" s="57">
        <f>ROUNDUP(E14*0.75,2)</f>
        <v>22.5</v>
      </c>
      <c r="K14" s="57" t="s">
        <v>29</v>
      </c>
      <c r="L14" s="57"/>
      <c r="M14" s="57"/>
      <c r="N14" s="87">
        <f>ROUND(M14+(M14*6/100),2)</f>
        <v>0</v>
      </c>
      <c r="O14" s="75" t="s">
        <v>123</v>
      </c>
      <c r="P14" s="58" t="s">
        <v>22</v>
      </c>
      <c r="Q14" s="55"/>
      <c r="R14" s="59">
        <v>1</v>
      </c>
      <c r="S14" s="56">
        <f>ROUNDUP(R14*0.75,2)</f>
        <v>0.75</v>
      </c>
      <c r="T14" s="71" t="e">
        <f>ROUNDUP((#REF!*R14)+(#REF!*S14)+(#REF!*(R14*2)),2)</f>
        <v>#REF!</v>
      </c>
    </row>
    <row r="15" spans="1:21" ht="18.75" customHeight="1" x14ac:dyDescent="0.15">
      <c r="A15" s="359"/>
      <c r="B15" s="75"/>
      <c r="C15" s="54" t="s">
        <v>111</v>
      </c>
      <c r="D15" s="55"/>
      <c r="E15" s="56">
        <v>3</v>
      </c>
      <c r="F15" s="57" t="s">
        <v>29</v>
      </c>
      <c r="G15" s="79"/>
      <c r="H15" s="83" t="s">
        <v>111</v>
      </c>
      <c r="I15" s="55"/>
      <c r="J15" s="57">
        <f>ROUNDUP(E15*0.75,2)</f>
        <v>2.25</v>
      </c>
      <c r="K15" s="57" t="s">
        <v>29</v>
      </c>
      <c r="L15" s="57"/>
      <c r="M15" s="57"/>
      <c r="N15" s="87">
        <f>ROUND(M15+(M15*5/100),2)</f>
        <v>0</v>
      </c>
      <c r="O15" s="75" t="s">
        <v>164</v>
      </c>
      <c r="P15" s="58" t="s">
        <v>22</v>
      </c>
      <c r="Q15" s="55"/>
      <c r="R15" s="59">
        <v>1</v>
      </c>
      <c r="S15" s="56">
        <f>ROUNDUP(R15*0.75,2)</f>
        <v>0.75</v>
      </c>
      <c r="T15" s="71" t="e">
        <f>ROUNDUP((#REF!*R15)+(#REF!*S15)+(#REF!*(R15*2)),2)</f>
        <v>#REF!</v>
      </c>
    </row>
    <row r="16" spans="1:21" ht="18.75" customHeight="1" x14ac:dyDescent="0.15">
      <c r="A16" s="359"/>
      <c r="B16" s="75"/>
      <c r="C16" s="54" t="s">
        <v>35</v>
      </c>
      <c r="D16" s="55" t="s">
        <v>36</v>
      </c>
      <c r="E16" s="60">
        <v>0.5</v>
      </c>
      <c r="F16" s="57" t="s">
        <v>32</v>
      </c>
      <c r="G16" s="79"/>
      <c r="H16" s="83" t="s">
        <v>35</v>
      </c>
      <c r="I16" s="55" t="s">
        <v>36</v>
      </c>
      <c r="J16" s="57">
        <f>ROUNDUP(E16*0.75,2)</f>
        <v>0.38</v>
      </c>
      <c r="K16" s="57" t="s">
        <v>32</v>
      </c>
      <c r="L16" s="57"/>
      <c r="M16" s="57"/>
      <c r="N16" s="87">
        <f>M16</f>
        <v>0</v>
      </c>
      <c r="O16" s="75" t="s">
        <v>165</v>
      </c>
      <c r="P16" s="58" t="s">
        <v>43</v>
      </c>
      <c r="Q16" s="55"/>
      <c r="R16" s="59">
        <v>0.1</v>
      </c>
      <c r="S16" s="56">
        <f>ROUNDUP(R16*0.75,2)</f>
        <v>0.08</v>
      </c>
      <c r="T16" s="71" t="e">
        <f>ROUNDUP((#REF!*R16)+(#REF!*S16)+(#REF!*(R16*2)),2)</f>
        <v>#REF!</v>
      </c>
    </row>
    <row r="17" spans="1:20" ht="18.75" customHeight="1" x14ac:dyDescent="0.15">
      <c r="A17" s="359"/>
      <c r="B17" s="75"/>
      <c r="C17" s="54"/>
      <c r="D17" s="55"/>
      <c r="E17" s="56"/>
      <c r="F17" s="57"/>
      <c r="G17" s="79"/>
      <c r="H17" s="83"/>
      <c r="I17" s="55"/>
      <c r="J17" s="57"/>
      <c r="K17" s="57"/>
      <c r="L17" s="57"/>
      <c r="M17" s="57"/>
      <c r="N17" s="87"/>
      <c r="O17" s="75" t="s">
        <v>19</v>
      </c>
      <c r="P17" s="58" t="s">
        <v>78</v>
      </c>
      <c r="Q17" s="55"/>
      <c r="R17" s="59">
        <v>0.01</v>
      </c>
      <c r="S17" s="56">
        <f>ROUNDUP(R17*0.75,2)</f>
        <v>0.01</v>
      </c>
      <c r="T17" s="71" t="e">
        <f>ROUNDUP((#REF!*R17)+(#REF!*S17)+(#REF!*(R17*2)),2)</f>
        <v>#REF!</v>
      </c>
    </row>
    <row r="18" spans="1:20" ht="18.75" customHeight="1" x14ac:dyDescent="0.15">
      <c r="A18" s="359"/>
      <c r="B18" s="74"/>
      <c r="C18" s="48"/>
      <c r="D18" s="49"/>
      <c r="E18" s="50"/>
      <c r="F18" s="51"/>
      <c r="G18" s="78"/>
      <c r="H18" s="82"/>
      <c r="I18" s="49"/>
      <c r="J18" s="51"/>
      <c r="K18" s="51"/>
      <c r="L18" s="51"/>
      <c r="M18" s="51"/>
      <c r="N18" s="86"/>
      <c r="O18" s="74"/>
      <c r="P18" s="52"/>
      <c r="Q18" s="49"/>
      <c r="R18" s="53"/>
      <c r="S18" s="50"/>
      <c r="T18" s="70"/>
    </row>
    <row r="19" spans="1:20" ht="18.75" customHeight="1" x14ac:dyDescent="0.15">
      <c r="A19" s="359"/>
      <c r="B19" s="75" t="s">
        <v>63</v>
      </c>
      <c r="C19" s="54" t="s">
        <v>41</v>
      </c>
      <c r="D19" s="55"/>
      <c r="E19" s="56">
        <v>0.5</v>
      </c>
      <c r="F19" s="57" t="s">
        <v>29</v>
      </c>
      <c r="G19" s="79" t="s">
        <v>42</v>
      </c>
      <c r="H19" s="83" t="s">
        <v>41</v>
      </c>
      <c r="I19" s="55"/>
      <c r="J19" s="57">
        <f>ROUNDUP(E19*0.75,2)</f>
        <v>0.38</v>
      </c>
      <c r="K19" s="57" t="s">
        <v>29</v>
      </c>
      <c r="L19" s="57" t="s">
        <v>42</v>
      </c>
      <c r="M19" s="57"/>
      <c r="N19" s="87">
        <f>M19</f>
        <v>0</v>
      </c>
      <c r="O19" s="75" t="s">
        <v>19</v>
      </c>
      <c r="P19" s="58" t="s">
        <v>23</v>
      </c>
      <c r="Q19" s="55"/>
      <c r="R19" s="59">
        <v>100</v>
      </c>
      <c r="S19" s="56">
        <f>ROUNDUP(R19*0.75,2)</f>
        <v>75</v>
      </c>
      <c r="T19" s="71" t="e">
        <f>ROUNDUP((#REF!*R19)+(#REF!*S19)+(#REF!*(R19*2)),2)</f>
        <v>#REF!</v>
      </c>
    </row>
    <row r="20" spans="1:20" ht="18.75" customHeight="1" x14ac:dyDescent="0.15">
      <c r="A20" s="359"/>
      <c r="B20" s="75"/>
      <c r="C20" s="54" t="s">
        <v>110</v>
      </c>
      <c r="D20" s="55"/>
      <c r="E20" s="56">
        <v>3</v>
      </c>
      <c r="F20" s="57" t="s">
        <v>29</v>
      </c>
      <c r="G20" s="79"/>
      <c r="H20" s="83" t="s">
        <v>110</v>
      </c>
      <c r="I20" s="55"/>
      <c r="J20" s="57">
        <f>ROUNDUP(E20*0.75,2)</f>
        <v>2.25</v>
      </c>
      <c r="K20" s="57" t="s">
        <v>29</v>
      </c>
      <c r="L20" s="57"/>
      <c r="M20" s="57"/>
      <c r="N20" s="87">
        <f>ROUND(M20+(M20*40/100),2)</f>
        <v>0</v>
      </c>
      <c r="O20" s="75"/>
      <c r="P20" s="58" t="s">
        <v>66</v>
      </c>
      <c r="Q20" s="55"/>
      <c r="R20" s="59">
        <v>3</v>
      </c>
      <c r="S20" s="56">
        <f>ROUNDUP(R20*0.75,2)</f>
        <v>2.25</v>
      </c>
      <c r="T20" s="71" t="e">
        <f>ROUNDUP((#REF!*R20)+(#REF!*S20)+(#REF!*(R20*2)),2)</f>
        <v>#REF!</v>
      </c>
    </row>
    <row r="21" spans="1:20" ht="18.75" customHeight="1" thickBot="1" x14ac:dyDescent="0.2">
      <c r="A21" s="360"/>
      <c r="B21" s="76"/>
      <c r="C21" s="61"/>
      <c r="D21" s="62"/>
      <c r="E21" s="63"/>
      <c r="F21" s="64"/>
      <c r="G21" s="80"/>
      <c r="H21" s="84"/>
      <c r="I21" s="62"/>
      <c r="J21" s="64"/>
      <c r="K21" s="64"/>
      <c r="L21" s="64"/>
      <c r="M21" s="64"/>
      <c r="N21" s="88"/>
      <c r="O21" s="76"/>
      <c r="P21" s="65"/>
      <c r="Q21" s="62"/>
      <c r="R21" s="66"/>
      <c r="S21" s="63"/>
      <c r="T21" s="72"/>
    </row>
  </sheetData>
  <mergeCells count="4">
    <mergeCell ref="H1:O1"/>
    <mergeCell ref="A2:T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67</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68</v>
      </c>
      <c r="C5" s="42" t="s">
        <v>75</v>
      </c>
      <c r="D5" s="43"/>
      <c r="E5" s="44">
        <v>10</v>
      </c>
      <c r="F5" s="45" t="s">
        <v>29</v>
      </c>
      <c r="G5" s="77" t="s">
        <v>55</v>
      </c>
      <c r="H5" s="81" t="s">
        <v>75</v>
      </c>
      <c r="I5" s="43"/>
      <c r="J5" s="45">
        <f>ROUNDUP(E5*0.75,2)</f>
        <v>7.5</v>
      </c>
      <c r="K5" s="45" t="s">
        <v>29</v>
      </c>
      <c r="L5" s="45" t="s">
        <v>55</v>
      </c>
      <c r="M5" s="45"/>
      <c r="N5" s="85">
        <f>M5</f>
        <v>0</v>
      </c>
      <c r="O5" s="73" t="s">
        <v>69</v>
      </c>
      <c r="P5" s="46" t="s">
        <v>18</v>
      </c>
      <c r="Q5" s="43"/>
      <c r="R5" s="47">
        <v>110</v>
      </c>
      <c r="S5" s="44">
        <f t="shared" ref="S5:S12" si="0">ROUNDUP(R5*0.75,2)</f>
        <v>82.5</v>
      </c>
      <c r="T5" s="69"/>
    </row>
    <row r="6" spans="1:21" ht="18.75" customHeight="1" x14ac:dyDescent="0.15">
      <c r="A6" s="359"/>
      <c r="B6" s="75"/>
      <c r="C6" s="54" t="s">
        <v>33</v>
      </c>
      <c r="D6" s="55"/>
      <c r="E6" s="56">
        <v>20</v>
      </c>
      <c r="F6" s="57" t="s">
        <v>29</v>
      </c>
      <c r="G6" s="79"/>
      <c r="H6" s="83" t="s">
        <v>33</v>
      </c>
      <c r="I6" s="55"/>
      <c r="J6" s="57">
        <f>ROUNDUP(E6*0.75,2)</f>
        <v>15</v>
      </c>
      <c r="K6" s="57" t="s">
        <v>29</v>
      </c>
      <c r="L6" s="57"/>
      <c r="M6" s="57"/>
      <c r="N6" s="87">
        <f>ROUND(M6+(M6*6/100),2)</f>
        <v>0</v>
      </c>
      <c r="O6" s="75" t="s">
        <v>70</v>
      </c>
      <c r="P6" s="58" t="s">
        <v>76</v>
      </c>
      <c r="Q6" s="55" t="s">
        <v>49</v>
      </c>
      <c r="R6" s="59">
        <v>1</v>
      </c>
      <c r="S6" s="56">
        <f t="shared" si="0"/>
        <v>0.75</v>
      </c>
      <c r="T6" s="71"/>
    </row>
    <row r="7" spans="1:21" ht="18.75" customHeight="1" x14ac:dyDescent="0.15">
      <c r="A7" s="359"/>
      <c r="B7" s="75"/>
      <c r="C7" s="54" t="s">
        <v>35</v>
      </c>
      <c r="D7" s="55" t="s">
        <v>36</v>
      </c>
      <c r="E7" s="56">
        <v>1</v>
      </c>
      <c r="F7" s="57" t="s">
        <v>32</v>
      </c>
      <c r="G7" s="79"/>
      <c r="H7" s="83" t="s">
        <v>35</v>
      </c>
      <c r="I7" s="55" t="s">
        <v>36</v>
      </c>
      <c r="J7" s="57">
        <f>ROUNDUP(E7*0.75,2)</f>
        <v>0.75</v>
      </c>
      <c r="K7" s="57" t="s">
        <v>32</v>
      </c>
      <c r="L7" s="57"/>
      <c r="M7" s="57"/>
      <c r="N7" s="87">
        <f>M7</f>
        <v>0</v>
      </c>
      <c r="O7" s="75" t="s">
        <v>71</v>
      </c>
      <c r="P7" s="58" t="s">
        <v>43</v>
      </c>
      <c r="Q7" s="55"/>
      <c r="R7" s="59">
        <v>0.1</v>
      </c>
      <c r="S7" s="56">
        <f t="shared" si="0"/>
        <v>0.08</v>
      </c>
      <c r="T7" s="71"/>
    </row>
    <row r="8" spans="1:21" ht="18.75" customHeight="1" x14ac:dyDescent="0.15">
      <c r="A8" s="359"/>
      <c r="B8" s="75"/>
      <c r="C8" s="54" t="s">
        <v>79</v>
      </c>
      <c r="D8" s="55"/>
      <c r="E8" s="56">
        <v>5</v>
      </c>
      <c r="F8" s="57" t="s">
        <v>29</v>
      </c>
      <c r="G8" s="79" t="s">
        <v>31</v>
      </c>
      <c r="H8" s="83" t="s">
        <v>79</v>
      </c>
      <c r="I8" s="55"/>
      <c r="J8" s="57">
        <f>ROUNDUP(E8*0.75,2)</f>
        <v>3.75</v>
      </c>
      <c r="K8" s="57" t="s">
        <v>29</v>
      </c>
      <c r="L8" s="57" t="s">
        <v>31</v>
      </c>
      <c r="M8" s="57"/>
      <c r="N8" s="87">
        <f>M8</f>
        <v>0</v>
      </c>
      <c r="O8" s="75" t="s">
        <v>72</v>
      </c>
      <c r="P8" s="58" t="s">
        <v>77</v>
      </c>
      <c r="Q8" s="55"/>
      <c r="R8" s="59">
        <v>8</v>
      </c>
      <c r="S8" s="56">
        <f t="shared" si="0"/>
        <v>6</v>
      </c>
      <c r="T8" s="71"/>
    </row>
    <row r="9" spans="1:21" ht="18.75" customHeight="1" x14ac:dyDescent="0.15">
      <c r="A9" s="359"/>
      <c r="B9" s="75"/>
      <c r="C9" s="54"/>
      <c r="D9" s="55"/>
      <c r="E9" s="56"/>
      <c r="F9" s="57"/>
      <c r="G9" s="79"/>
      <c r="H9" s="83"/>
      <c r="I9" s="55"/>
      <c r="J9" s="57"/>
      <c r="K9" s="57"/>
      <c r="L9" s="57"/>
      <c r="M9" s="57"/>
      <c r="N9" s="87"/>
      <c r="O9" s="75" t="s">
        <v>73</v>
      </c>
      <c r="P9" s="58" t="s">
        <v>43</v>
      </c>
      <c r="Q9" s="55"/>
      <c r="R9" s="59">
        <v>0.1</v>
      </c>
      <c r="S9" s="56">
        <f t="shared" si="0"/>
        <v>0.08</v>
      </c>
      <c r="T9" s="71"/>
    </row>
    <row r="10" spans="1:21" ht="18.75" customHeight="1" x14ac:dyDescent="0.15">
      <c r="A10" s="359"/>
      <c r="B10" s="75"/>
      <c r="C10" s="54"/>
      <c r="D10" s="55"/>
      <c r="E10" s="56"/>
      <c r="F10" s="57"/>
      <c r="G10" s="79"/>
      <c r="H10" s="83"/>
      <c r="I10" s="55"/>
      <c r="J10" s="57"/>
      <c r="K10" s="57"/>
      <c r="L10" s="57"/>
      <c r="M10" s="57"/>
      <c r="N10" s="87"/>
      <c r="O10" s="75" t="s">
        <v>74</v>
      </c>
      <c r="P10" s="58" t="s">
        <v>78</v>
      </c>
      <c r="Q10" s="55"/>
      <c r="R10" s="59">
        <v>0.01</v>
      </c>
      <c r="S10" s="56">
        <f t="shared" si="0"/>
        <v>0.01</v>
      </c>
      <c r="T10" s="71"/>
    </row>
    <row r="11" spans="1:21" ht="18.75" customHeight="1" x14ac:dyDescent="0.15">
      <c r="A11" s="359"/>
      <c r="B11" s="75"/>
      <c r="C11" s="54"/>
      <c r="D11" s="55"/>
      <c r="E11" s="56"/>
      <c r="F11" s="57"/>
      <c r="G11" s="79"/>
      <c r="H11" s="83"/>
      <c r="I11" s="55"/>
      <c r="J11" s="57"/>
      <c r="K11" s="57"/>
      <c r="L11" s="57"/>
      <c r="M11" s="57"/>
      <c r="N11" s="87"/>
      <c r="O11" s="75" t="s">
        <v>19</v>
      </c>
      <c r="P11" s="58" t="s">
        <v>22</v>
      </c>
      <c r="Q11" s="55"/>
      <c r="R11" s="59">
        <v>1</v>
      </c>
      <c r="S11" s="56">
        <f t="shared" si="0"/>
        <v>0.75</v>
      </c>
      <c r="T11" s="71"/>
    </row>
    <row r="12" spans="1:21" ht="18.75" customHeight="1" x14ac:dyDescent="0.15">
      <c r="A12" s="359"/>
      <c r="B12" s="75"/>
      <c r="C12" s="54"/>
      <c r="D12" s="55"/>
      <c r="E12" s="56"/>
      <c r="F12" s="57"/>
      <c r="G12" s="79"/>
      <c r="H12" s="83"/>
      <c r="I12" s="55"/>
      <c r="J12" s="57"/>
      <c r="K12" s="57"/>
      <c r="L12" s="57"/>
      <c r="M12" s="57"/>
      <c r="N12" s="87"/>
      <c r="O12" s="75"/>
      <c r="P12" s="58" t="s">
        <v>77</v>
      </c>
      <c r="Q12" s="55"/>
      <c r="R12" s="59">
        <v>3</v>
      </c>
      <c r="S12" s="56">
        <f t="shared" si="0"/>
        <v>2.25</v>
      </c>
      <c r="T12" s="71"/>
    </row>
    <row r="13" spans="1:21" ht="18.75" customHeight="1" x14ac:dyDescent="0.15">
      <c r="A13" s="359"/>
      <c r="B13" s="74"/>
      <c r="C13" s="48"/>
      <c r="D13" s="49"/>
      <c r="E13" s="50"/>
      <c r="F13" s="51"/>
      <c r="G13" s="78"/>
      <c r="H13" s="82"/>
      <c r="I13" s="49"/>
      <c r="J13" s="51"/>
      <c r="K13" s="51"/>
      <c r="L13" s="51"/>
      <c r="M13" s="51"/>
      <c r="N13" s="86"/>
      <c r="O13" s="74"/>
      <c r="P13" s="52"/>
      <c r="Q13" s="49"/>
      <c r="R13" s="53"/>
      <c r="S13" s="50"/>
      <c r="T13" s="70"/>
    </row>
    <row r="14" spans="1:21" ht="18.75" customHeight="1" x14ac:dyDescent="0.15">
      <c r="A14" s="359"/>
      <c r="B14" s="75" t="s">
        <v>80</v>
      </c>
      <c r="C14" s="54" t="s">
        <v>83</v>
      </c>
      <c r="D14" s="55"/>
      <c r="E14" s="56">
        <v>30</v>
      </c>
      <c r="F14" s="57" t="s">
        <v>29</v>
      </c>
      <c r="G14" s="79"/>
      <c r="H14" s="83" t="s">
        <v>83</v>
      </c>
      <c r="I14" s="55"/>
      <c r="J14" s="57">
        <f>ROUNDUP(E14*0.75,2)</f>
        <v>22.5</v>
      </c>
      <c r="K14" s="57" t="s">
        <v>29</v>
      </c>
      <c r="L14" s="57"/>
      <c r="M14" s="57"/>
      <c r="N14" s="87">
        <f>ROUND(M14+(M14*15/100),2)</f>
        <v>0</v>
      </c>
      <c r="O14" s="75" t="s">
        <v>81</v>
      </c>
      <c r="P14" s="58" t="s">
        <v>24</v>
      </c>
      <c r="Q14" s="55"/>
      <c r="R14" s="59">
        <v>1</v>
      </c>
      <c r="S14" s="56">
        <f>ROUNDUP(R14*0.75,2)</f>
        <v>0.75</v>
      </c>
      <c r="T14" s="71"/>
    </row>
    <row r="15" spans="1:21" ht="18.75" customHeight="1" x14ac:dyDescent="0.15">
      <c r="A15" s="359"/>
      <c r="B15" s="75"/>
      <c r="C15" s="54" t="s">
        <v>84</v>
      </c>
      <c r="D15" s="55"/>
      <c r="E15" s="56">
        <v>10</v>
      </c>
      <c r="F15" s="57" t="s">
        <v>29</v>
      </c>
      <c r="G15" s="79"/>
      <c r="H15" s="83" t="s">
        <v>84</v>
      </c>
      <c r="I15" s="55"/>
      <c r="J15" s="57">
        <f>ROUNDUP(E15*0.75,2)</f>
        <v>7.5</v>
      </c>
      <c r="K15" s="57" t="s">
        <v>29</v>
      </c>
      <c r="L15" s="57"/>
      <c r="M15" s="57"/>
      <c r="N15" s="87">
        <f>ROUND(M15+(M15*2/100),2)</f>
        <v>0</v>
      </c>
      <c r="O15" s="75" t="s">
        <v>82</v>
      </c>
      <c r="P15" s="58" t="s">
        <v>43</v>
      </c>
      <c r="Q15" s="55"/>
      <c r="R15" s="59">
        <v>0.1</v>
      </c>
      <c r="S15" s="56">
        <f>ROUNDUP(R15*0.75,2)</f>
        <v>0.08</v>
      </c>
      <c r="T15" s="71"/>
    </row>
    <row r="16" spans="1:21" ht="18.75" customHeight="1" x14ac:dyDescent="0.15">
      <c r="A16" s="359"/>
      <c r="B16" s="75"/>
      <c r="C16" s="54" t="s">
        <v>85</v>
      </c>
      <c r="D16" s="55"/>
      <c r="E16" s="56">
        <v>10</v>
      </c>
      <c r="F16" s="57" t="s">
        <v>29</v>
      </c>
      <c r="G16" s="79" t="s">
        <v>86</v>
      </c>
      <c r="H16" s="83" t="s">
        <v>85</v>
      </c>
      <c r="I16" s="55"/>
      <c r="J16" s="57">
        <f>ROUNDUP(E16*0.75,2)</f>
        <v>7.5</v>
      </c>
      <c r="K16" s="57" t="s">
        <v>29</v>
      </c>
      <c r="L16" s="57" t="s">
        <v>86</v>
      </c>
      <c r="M16" s="57"/>
      <c r="N16" s="87">
        <f>M16</f>
        <v>0</v>
      </c>
      <c r="O16" s="75" t="s">
        <v>19</v>
      </c>
      <c r="P16" s="58" t="s">
        <v>57</v>
      </c>
      <c r="Q16" s="55"/>
      <c r="R16" s="59">
        <v>2</v>
      </c>
      <c r="S16" s="56">
        <f>ROUNDUP(R16*0.75,2)</f>
        <v>1.5</v>
      </c>
      <c r="T16" s="71"/>
    </row>
    <row r="17" spans="1:20" ht="18.75" customHeight="1" x14ac:dyDescent="0.15">
      <c r="A17" s="359"/>
      <c r="B17" s="75"/>
      <c r="C17" s="54"/>
      <c r="D17" s="55"/>
      <c r="E17" s="56"/>
      <c r="F17" s="57"/>
      <c r="G17" s="79"/>
      <c r="H17" s="83"/>
      <c r="I17" s="55"/>
      <c r="J17" s="57"/>
      <c r="K17" s="57"/>
      <c r="L17" s="57"/>
      <c r="M17" s="57"/>
      <c r="N17" s="87"/>
      <c r="O17" s="75"/>
      <c r="P17" s="58" t="s">
        <v>22</v>
      </c>
      <c r="Q17" s="55"/>
      <c r="R17" s="59">
        <v>2</v>
      </c>
      <c r="S17" s="56">
        <f>ROUNDUP(R17*0.75,2)</f>
        <v>1.5</v>
      </c>
      <c r="T17" s="71"/>
    </row>
    <row r="18" spans="1:20" ht="18.75" customHeight="1" x14ac:dyDescent="0.15">
      <c r="A18" s="359"/>
      <c r="B18" s="74"/>
      <c r="C18" s="48"/>
      <c r="D18" s="49"/>
      <c r="E18" s="50"/>
      <c r="F18" s="51"/>
      <c r="G18" s="78"/>
      <c r="H18" s="82"/>
      <c r="I18" s="49"/>
      <c r="J18" s="51"/>
      <c r="K18" s="51"/>
      <c r="L18" s="51"/>
      <c r="M18" s="51"/>
      <c r="N18" s="86"/>
      <c r="O18" s="74"/>
      <c r="P18" s="52"/>
      <c r="Q18" s="49"/>
      <c r="R18" s="53"/>
      <c r="S18" s="50"/>
      <c r="T18" s="70"/>
    </row>
    <row r="19" spans="1:20" ht="18.75" customHeight="1" x14ac:dyDescent="0.15">
      <c r="A19" s="359"/>
      <c r="B19" s="75" t="s">
        <v>87</v>
      </c>
      <c r="C19" s="54" t="s">
        <v>88</v>
      </c>
      <c r="D19" s="55"/>
      <c r="E19" s="56">
        <v>20</v>
      </c>
      <c r="F19" s="57" t="s">
        <v>29</v>
      </c>
      <c r="G19" s="79" t="s">
        <v>31</v>
      </c>
      <c r="H19" s="83" t="s">
        <v>88</v>
      </c>
      <c r="I19" s="55"/>
      <c r="J19" s="57">
        <f>ROUNDUP(E19*0.75,2)</f>
        <v>15</v>
      </c>
      <c r="K19" s="57" t="s">
        <v>29</v>
      </c>
      <c r="L19" s="57" t="s">
        <v>31</v>
      </c>
      <c r="M19" s="57"/>
      <c r="N19" s="87">
        <f>M19</f>
        <v>0</v>
      </c>
      <c r="O19" s="75" t="s">
        <v>54</v>
      </c>
      <c r="P19" s="58" t="s">
        <v>50</v>
      </c>
      <c r="Q19" s="55"/>
      <c r="R19" s="59">
        <v>100</v>
      </c>
      <c r="S19" s="56">
        <f>ROUNDUP(R19*0.75,2)</f>
        <v>75</v>
      </c>
      <c r="T19" s="71"/>
    </row>
    <row r="20" spans="1:20" ht="18.75" customHeight="1" x14ac:dyDescent="0.15">
      <c r="A20" s="359"/>
      <c r="B20" s="75"/>
      <c r="C20" s="54" t="s">
        <v>61</v>
      </c>
      <c r="D20" s="55"/>
      <c r="E20" s="56">
        <v>5</v>
      </c>
      <c r="F20" s="57" t="s">
        <v>29</v>
      </c>
      <c r="G20" s="79"/>
      <c r="H20" s="83" t="s">
        <v>61</v>
      </c>
      <c r="I20" s="55"/>
      <c r="J20" s="57">
        <f>ROUNDUP(E20*0.75,2)</f>
        <v>3.75</v>
      </c>
      <c r="K20" s="57" t="s">
        <v>29</v>
      </c>
      <c r="L20" s="57"/>
      <c r="M20" s="57"/>
      <c r="N20" s="87">
        <f>ROUND(M20+(M20*3/100),2)</f>
        <v>0</v>
      </c>
      <c r="O20" s="75"/>
      <c r="P20" s="58" t="s">
        <v>89</v>
      </c>
      <c r="Q20" s="55" t="s">
        <v>90</v>
      </c>
      <c r="R20" s="59">
        <v>0.5</v>
      </c>
      <c r="S20" s="56">
        <f>ROUNDUP(R20*0.75,2)</f>
        <v>0.38</v>
      </c>
      <c r="T20" s="71"/>
    </row>
    <row r="21" spans="1:20" ht="18.75" customHeight="1" x14ac:dyDescent="0.15">
      <c r="A21" s="359"/>
      <c r="B21" s="75"/>
      <c r="C21" s="54"/>
      <c r="D21" s="55"/>
      <c r="E21" s="56"/>
      <c r="F21" s="57"/>
      <c r="G21" s="79"/>
      <c r="H21" s="83"/>
      <c r="I21" s="55"/>
      <c r="J21" s="57"/>
      <c r="K21" s="57"/>
      <c r="L21" s="57"/>
      <c r="M21" s="57"/>
      <c r="N21" s="87"/>
      <c r="O21" s="75"/>
      <c r="P21" s="58" t="s">
        <v>43</v>
      </c>
      <c r="Q21" s="55"/>
      <c r="R21" s="59">
        <v>0.1</v>
      </c>
      <c r="S21" s="56">
        <f>ROUNDUP(R21*0.75,2)</f>
        <v>0.08</v>
      </c>
      <c r="T21" s="71"/>
    </row>
    <row r="22" spans="1:20" ht="18.75" customHeight="1" x14ac:dyDescent="0.15">
      <c r="A22" s="359"/>
      <c r="B22" s="74"/>
      <c r="C22" s="48"/>
      <c r="D22" s="49"/>
      <c r="E22" s="50"/>
      <c r="F22" s="51"/>
      <c r="G22" s="78"/>
      <c r="H22" s="82"/>
      <c r="I22" s="49"/>
      <c r="J22" s="51"/>
      <c r="K22" s="51"/>
      <c r="L22" s="51"/>
      <c r="M22" s="51"/>
      <c r="N22" s="86"/>
      <c r="O22" s="74"/>
      <c r="P22" s="52"/>
      <c r="Q22" s="49"/>
      <c r="R22" s="53"/>
      <c r="S22" s="50"/>
      <c r="T22" s="70"/>
    </row>
    <row r="23" spans="1:20" ht="18.75" customHeight="1" x14ac:dyDescent="0.15">
      <c r="A23" s="359"/>
      <c r="B23" s="75" t="s">
        <v>91</v>
      </c>
      <c r="C23" s="54" t="s">
        <v>93</v>
      </c>
      <c r="D23" s="55"/>
      <c r="E23" s="89">
        <v>0.16666666666666666</v>
      </c>
      <c r="F23" s="57" t="s">
        <v>32</v>
      </c>
      <c r="G23" s="79"/>
      <c r="H23" s="83" t="s">
        <v>93</v>
      </c>
      <c r="I23" s="55"/>
      <c r="J23" s="57">
        <f>ROUNDUP(E23*0.75,2)</f>
        <v>0.13</v>
      </c>
      <c r="K23" s="57" t="s">
        <v>32</v>
      </c>
      <c r="L23" s="57"/>
      <c r="M23" s="57"/>
      <c r="N23" s="87">
        <f>M23</f>
        <v>0</v>
      </c>
      <c r="O23" s="75" t="s">
        <v>92</v>
      </c>
      <c r="P23" s="58"/>
      <c r="Q23" s="55"/>
      <c r="R23" s="59"/>
      <c r="S23" s="56"/>
      <c r="T23" s="71"/>
    </row>
    <row r="24" spans="1:20" ht="18.75" customHeight="1" thickBot="1" x14ac:dyDescent="0.2">
      <c r="A24" s="360"/>
      <c r="B24" s="76"/>
      <c r="C24" s="61"/>
      <c r="D24" s="62"/>
      <c r="E24" s="63"/>
      <c r="F24" s="64"/>
      <c r="G24" s="80"/>
      <c r="H24" s="84"/>
      <c r="I24" s="62"/>
      <c r="J24" s="64"/>
      <c r="K24" s="64"/>
      <c r="L24" s="64"/>
      <c r="M24" s="64"/>
      <c r="N24" s="88"/>
      <c r="O24" s="76"/>
      <c r="P24" s="65"/>
      <c r="Q24" s="62"/>
      <c r="R24" s="66"/>
      <c r="S24" s="63"/>
      <c r="T24" s="72"/>
    </row>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382</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342</v>
      </c>
      <c r="C9" s="96" t="s">
        <v>108</v>
      </c>
      <c r="D9" s="96" t="s">
        <v>55</v>
      </c>
      <c r="E9" s="55"/>
      <c r="F9" s="121"/>
      <c r="G9" s="136"/>
      <c r="H9" s="115">
        <v>20</v>
      </c>
      <c r="I9" s="127" t="s">
        <v>341</v>
      </c>
      <c r="J9" s="98" t="s">
        <v>167</v>
      </c>
      <c r="K9" s="141">
        <v>20</v>
      </c>
      <c r="L9" s="136" t="s">
        <v>340</v>
      </c>
      <c r="M9" s="96" t="s">
        <v>98</v>
      </c>
      <c r="N9" s="115">
        <v>10</v>
      </c>
      <c r="O9" s="111"/>
    </row>
    <row r="10" spans="1:21" ht="20.100000000000001" customHeight="1" x14ac:dyDescent="0.15">
      <c r="A10" s="379"/>
      <c r="B10" s="96"/>
      <c r="C10" s="96" t="s">
        <v>98</v>
      </c>
      <c r="D10" s="96"/>
      <c r="E10" s="55"/>
      <c r="F10" s="121"/>
      <c r="G10" s="136"/>
      <c r="H10" s="115">
        <v>20</v>
      </c>
      <c r="I10" s="127"/>
      <c r="J10" s="96" t="s">
        <v>98</v>
      </c>
      <c r="K10" s="141">
        <v>20</v>
      </c>
      <c r="L10" s="136"/>
      <c r="M10" s="96" t="s">
        <v>33</v>
      </c>
      <c r="N10" s="115">
        <v>5</v>
      </c>
      <c r="O10" s="111"/>
    </row>
    <row r="11" spans="1:21" ht="20.100000000000001" customHeight="1" x14ac:dyDescent="0.15">
      <c r="A11" s="379"/>
      <c r="B11" s="96"/>
      <c r="C11" s="96" t="s">
        <v>33</v>
      </c>
      <c r="D11" s="96"/>
      <c r="E11" s="55"/>
      <c r="F11" s="121"/>
      <c r="G11" s="136"/>
      <c r="H11" s="115">
        <v>10</v>
      </c>
      <c r="I11" s="127"/>
      <c r="J11" s="96" t="s">
        <v>33</v>
      </c>
      <c r="K11" s="141">
        <v>5</v>
      </c>
      <c r="L11" s="136"/>
      <c r="M11" s="96" t="s">
        <v>61</v>
      </c>
      <c r="N11" s="115">
        <v>5</v>
      </c>
      <c r="O11" s="111"/>
    </row>
    <row r="12" spans="1:21" ht="20.100000000000001" customHeight="1" x14ac:dyDescent="0.15">
      <c r="A12" s="379"/>
      <c r="B12" s="96"/>
      <c r="C12" s="96" t="s">
        <v>61</v>
      </c>
      <c r="D12" s="96"/>
      <c r="E12" s="55"/>
      <c r="F12" s="121"/>
      <c r="G12" s="136"/>
      <c r="H12" s="115">
        <v>5</v>
      </c>
      <c r="I12" s="127"/>
      <c r="J12" s="96" t="s">
        <v>61</v>
      </c>
      <c r="K12" s="141">
        <v>5</v>
      </c>
      <c r="L12" s="135"/>
      <c r="M12" s="97"/>
      <c r="N12" s="114"/>
      <c r="O12" s="110"/>
    </row>
    <row r="13" spans="1:21" ht="20.100000000000001" customHeight="1" x14ac:dyDescent="0.15">
      <c r="A13" s="379"/>
      <c r="B13" s="96"/>
      <c r="C13" s="96"/>
      <c r="D13" s="96"/>
      <c r="E13" s="55"/>
      <c r="F13" s="121"/>
      <c r="G13" s="136" t="s">
        <v>23</v>
      </c>
      <c r="H13" s="115" t="s">
        <v>292</v>
      </c>
      <c r="I13" s="127"/>
      <c r="J13" s="96"/>
      <c r="K13" s="141"/>
      <c r="L13" s="136" t="s">
        <v>339</v>
      </c>
      <c r="M13" s="96" t="s">
        <v>144</v>
      </c>
      <c r="N13" s="115">
        <v>10</v>
      </c>
      <c r="O13" s="111"/>
    </row>
    <row r="14" spans="1:21" ht="20.100000000000001" customHeight="1" x14ac:dyDescent="0.15">
      <c r="A14" s="379"/>
      <c r="B14" s="96"/>
      <c r="C14" s="96"/>
      <c r="D14" s="96"/>
      <c r="E14" s="55"/>
      <c r="F14" s="121"/>
      <c r="G14" s="136" t="s">
        <v>24</v>
      </c>
      <c r="H14" s="115" t="s">
        <v>294</v>
      </c>
      <c r="I14" s="127"/>
      <c r="J14" s="96"/>
      <c r="K14" s="141"/>
      <c r="L14" s="136"/>
      <c r="M14" s="96"/>
      <c r="N14" s="115"/>
      <c r="O14" s="111"/>
    </row>
    <row r="15" spans="1:21" ht="20.100000000000001" customHeight="1" x14ac:dyDescent="0.15">
      <c r="A15" s="379"/>
      <c r="B15" s="96"/>
      <c r="C15" s="96"/>
      <c r="D15" s="96"/>
      <c r="E15" s="55"/>
      <c r="F15" s="121" t="s">
        <v>26</v>
      </c>
      <c r="G15" s="136" t="s">
        <v>25</v>
      </c>
      <c r="H15" s="115" t="s">
        <v>294</v>
      </c>
      <c r="I15" s="127"/>
      <c r="J15" s="96"/>
      <c r="K15" s="141"/>
      <c r="L15" s="136"/>
      <c r="M15" s="96"/>
      <c r="N15" s="115"/>
      <c r="O15" s="111"/>
    </row>
    <row r="16" spans="1:21" ht="20.100000000000001" customHeight="1" x14ac:dyDescent="0.15">
      <c r="A16" s="379"/>
      <c r="B16" s="97"/>
      <c r="C16" s="97"/>
      <c r="D16" s="97"/>
      <c r="E16" s="49"/>
      <c r="F16" s="120"/>
      <c r="G16" s="135"/>
      <c r="H16" s="114"/>
      <c r="I16" s="126"/>
      <c r="J16" s="97"/>
      <c r="K16" s="139"/>
      <c r="L16" s="136"/>
      <c r="M16" s="96"/>
      <c r="N16" s="115"/>
      <c r="O16" s="111"/>
    </row>
    <row r="17" spans="1:15" ht="20.100000000000001" customHeight="1" x14ac:dyDescent="0.15">
      <c r="A17" s="379"/>
      <c r="B17" s="96" t="s">
        <v>338</v>
      </c>
      <c r="C17" s="96" t="s">
        <v>144</v>
      </c>
      <c r="D17" s="96"/>
      <c r="E17" s="55"/>
      <c r="F17" s="121"/>
      <c r="G17" s="136"/>
      <c r="H17" s="115">
        <v>20</v>
      </c>
      <c r="I17" s="127" t="s">
        <v>338</v>
      </c>
      <c r="J17" s="96" t="s">
        <v>144</v>
      </c>
      <c r="K17" s="141">
        <v>10</v>
      </c>
      <c r="L17" s="136"/>
      <c r="M17" s="96"/>
      <c r="N17" s="115"/>
      <c r="O17" s="111"/>
    </row>
    <row r="18" spans="1:15" ht="20.100000000000001" customHeight="1" x14ac:dyDescent="0.15">
      <c r="A18" s="379"/>
      <c r="B18" s="96"/>
      <c r="C18" s="96" t="s">
        <v>35</v>
      </c>
      <c r="D18" s="96"/>
      <c r="E18" s="55" t="s">
        <v>36</v>
      </c>
      <c r="F18" s="121"/>
      <c r="G18" s="136"/>
      <c r="H18" s="144">
        <v>0.13</v>
      </c>
      <c r="I18" s="127"/>
      <c r="J18" s="96" t="s">
        <v>296</v>
      </c>
      <c r="K18" s="143">
        <v>0.13</v>
      </c>
      <c r="L18" s="136"/>
      <c r="M18" s="96"/>
      <c r="N18" s="115"/>
      <c r="O18" s="111"/>
    </row>
    <row r="19" spans="1:15" ht="20.100000000000001" customHeight="1" x14ac:dyDescent="0.15">
      <c r="A19" s="379"/>
      <c r="B19" s="96"/>
      <c r="C19" s="96"/>
      <c r="D19" s="96"/>
      <c r="E19" s="55"/>
      <c r="F19" s="122"/>
      <c r="G19" s="136" t="s">
        <v>23</v>
      </c>
      <c r="H19" s="115" t="s">
        <v>292</v>
      </c>
      <c r="I19" s="127"/>
      <c r="J19" s="96"/>
      <c r="K19" s="141"/>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63</v>
      </c>
      <c r="C21" s="96" t="s">
        <v>41</v>
      </c>
      <c r="D21" s="96" t="s">
        <v>42</v>
      </c>
      <c r="E21" s="55"/>
      <c r="F21" s="121"/>
      <c r="G21" s="136"/>
      <c r="H21" s="115">
        <v>0.5</v>
      </c>
      <c r="I21" s="127" t="s">
        <v>63</v>
      </c>
      <c r="J21" s="96" t="s">
        <v>41</v>
      </c>
      <c r="K21" s="141">
        <v>0.5</v>
      </c>
      <c r="L21" s="136"/>
      <c r="M21" s="96"/>
      <c r="N21" s="115"/>
      <c r="O21" s="111"/>
    </row>
    <row r="22" spans="1:15" ht="20.100000000000001" customHeight="1" x14ac:dyDescent="0.15">
      <c r="A22" s="379"/>
      <c r="B22" s="96"/>
      <c r="C22" s="96"/>
      <c r="D22" s="96"/>
      <c r="E22" s="55"/>
      <c r="F22" s="121"/>
      <c r="G22" s="136" t="s">
        <v>23</v>
      </c>
      <c r="H22" s="115" t="s">
        <v>292</v>
      </c>
      <c r="I22" s="127"/>
      <c r="J22" s="96"/>
      <c r="K22" s="141"/>
      <c r="L22" s="136"/>
      <c r="M22" s="96"/>
      <c r="N22" s="115"/>
      <c r="O22" s="111"/>
    </row>
    <row r="23" spans="1:15" ht="20.100000000000001" customHeight="1" x14ac:dyDescent="0.15">
      <c r="A23" s="379"/>
      <c r="B23" s="96"/>
      <c r="C23" s="96"/>
      <c r="D23" s="96"/>
      <c r="E23" s="55"/>
      <c r="F23" s="121"/>
      <c r="G23" s="136" t="s">
        <v>66</v>
      </c>
      <c r="H23" s="115" t="s">
        <v>294</v>
      </c>
      <c r="I23" s="127"/>
      <c r="J23" s="96"/>
      <c r="K23" s="141"/>
      <c r="L23" s="136"/>
      <c r="M23" s="96"/>
      <c r="N23" s="115"/>
      <c r="O23" s="111"/>
    </row>
    <row r="24" spans="1:15" ht="20.100000000000001" customHeight="1" thickBot="1" x14ac:dyDescent="0.2">
      <c r="A24" s="380"/>
      <c r="B24" s="95"/>
      <c r="C24" s="95"/>
      <c r="D24" s="95"/>
      <c r="E24" s="62"/>
      <c r="F24" s="123"/>
      <c r="G24" s="137"/>
      <c r="H24" s="117"/>
      <c r="I24" s="128"/>
      <c r="J24" s="95"/>
      <c r="K24" s="142"/>
      <c r="L24" s="137"/>
      <c r="M24" s="95"/>
      <c r="N24" s="117"/>
      <c r="O24" s="112"/>
    </row>
    <row r="25" spans="1:15" ht="20.100000000000001" customHeight="1" x14ac:dyDescent="0.15">
      <c r="B25" s="94"/>
      <c r="C25" s="94"/>
      <c r="D25" s="94"/>
      <c r="G25" s="94"/>
      <c r="H25" s="93"/>
      <c r="I25" s="94"/>
      <c r="J25" s="94"/>
      <c r="K25" s="93"/>
      <c r="L25" s="94"/>
      <c r="M25" s="94"/>
      <c r="N25" s="93"/>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4"/>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250</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t="e">
        <f>ROUNDUP((#REF!*R5)+(#REF!*S5)+(#REF!*(R5*2)),2)</f>
        <v>#REF!</v>
      </c>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190</v>
      </c>
      <c r="C7" s="54" t="s">
        <v>95</v>
      </c>
      <c r="D7" s="55"/>
      <c r="E7" s="56">
        <v>1</v>
      </c>
      <c r="F7" s="57" t="s">
        <v>20</v>
      </c>
      <c r="G7" s="79" t="s">
        <v>96</v>
      </c>
      <c r="H7" s="83" t="s">
        <v>95</v>
      </c>
      <c r="I7" s="55"/>
      <c r="J7" s="57">
        <f>ROUNDUP(E7*0.75,2)</f>
        <v>0.75</v>
      </c>
      <c r="K7" s="57" t="s">
        <v>20</v>
      </c>
      <c r="L7" s="57" t="s">
        <v>96</v>
      </c>
      <c r="M7" s="57"/>
      <c r="N7" s="87">
        <f>M7</f>
        <v>0</v>
      </c>
      <c r="O7" s="75" t="s">
        <v>191</v>
      </c>
      <c r="P7" s="58" t="s">
        <v>37</v>
      </c>
      <c r="Q7" s="55"/>
      <c r="R7" s="59">
        <v>0.5</v>
      </c>
      <c r="S7" s="56">
        <f t="shared" ref="S7:S14" si="0">ROUNDUP(R7*0.75,2)</f>
        <v>0.38</v>
      </c>
      <c r="T7" s="71" t="e">
        <f>ROUNDUP((#REF!*R7)+(#REF!*S7)+(#REF!*(R7*2)),2)</f>
        <v>#REF!</v>
      </c>
    </row>
    <row r="8" spans="1:21" ht="18.75" customHeight="1" x14ac:dyDescent="0.15">
      <c r="A8" s="359"/>
      <c r="B8" s="75"/>
      <c r="C8" s="54" t="s">
        <v>35</v>
      </c>
      <c r="D8" s="55" t="s">
        <v>36</v>
      </c>
      <c r="E8" s="67">
        <v>0.25</v>
      </c>
      <c r="F8" s="57" t="s">
        <v>32</v>
      </c>
      <c r="G8" s="79"/>
      <c r="H8" s="83" t="s">
        <v>35</v>
      </c>
      <c r="I8" s="55" t="s">
        <v>36</v>
      </c>
      <c r="J8" s="57">
        <f>ROUNDUP(E8*0.75,2)</f>
        <v>0.19</v>
      </c>
      <c r="K8" s="57" t="s">
        <v>32</v>
      </c>
      <c r="L8" s="57"/>
      <c r="M8" s="57"/>
      <c r="N8" s="87">
        <f>M8</f>
        <v>0</v>
      </c>
      <c r="O8" s="75" t="s">
        <v>251</v>
      </c>
      <c r="P8" s="58" t="s">
        <v>121</v>
      </c>
      <c r="Q8" s="55" t="s">
        <v>26</v>
      </c>
      <c r="R8" s="59">
        <v>3</v>
      </c>
      <c r="S8" s="56">
        <f t="shared" si="0"/>
        <v>2.25</v>
      </c>
      <c r="T8" s="71" t="e">
        <f>ROUNDUP((#REF!*R8)+(#REF!*S8)+(#REF!*(R8*2)),2)</f>
        <v>#REF!</v>
      </c>
    </row>
    <row r="9" spans="1:21" ht="18.75" customHeight="1" x14ac:dyDescent="0.15">
      <c r="A9" s="359"/>
      <c r="B9" s="75"/>
      <c r="C9" s="54" t="s">
        <v>33</v>
      </c>
      <c r="D9" s="55"/>
      <c r="E9" s="56">
        <v>5</v>
      </c>
      <c r="F9" s="57" t="s">
        <v>29</v>
      </c>
      <c r="G9" s="79"/>
      <c r="H9" s="83" t="s">
        <v>33</v>
      </c>
      <c r="I9" s="55"/>
      <c r="J9" s="57">
        <f>ROUNDUP(E9*0.75,2)</f>
        <v>3.75</v>
      </c>
      <c r="K9" s="57" t="s">
        <v>29</v>
      </c>
      <c r="L9" s="57"/>
      <c r="M9" s="57"/>
      <c r="N9" s="87">
        <f>ROUND(M9+(M9*6/100),2)</f>
        <v>0</v>
      </c>
      <c r="O9" s="75" t="s">
        <v>252</v>
      </c>
      <c r="P9" s="58" t="s">
        <v>22</v>
      </c>
      <c r="Q9" s="55"/>
      <c r="R9" s="59">
        <v>2</v>
      </c>
      <c r="S9" s="56">
        <f t="shared" si="0"/>
        <v>1.5</v>
      </c>
      <c r="T9" s="71" t="e">
        <f>ROUNDUP((#REF!*R9)+(#REF!*S9)+(#REF!*(R9*2)),2)</f>
        <v>#REF!</v>
      </c>
    </row>
    <row r="10" spans="1:21" ht="18.75" customHeight="1" x14ac:dyDescent="0.15">
      <c r="A10" s="359"/>
      <c r="B10" s="75"/>
      <c r="C10" s="54" t="s">
        <v>221</v>
      </c>
      <c r="D10" s="55"/>
      <c r="E10" s="56">
        <v>10</v>
      </c>
      <c r="F10" s="57" t="s">
        <v>29</v>
      </c>
      <c r="G10" s="79" t="s">
        <v>222</v>
      </c>
      <c r="H10" s="83" t="s">
        <v>221</v>
      </c>
      <c r="I10" s="55"/>
      <c r="J10" s="57">
        <f>ROUNDUP(E10*0.75,2)</f>
        <v>7.5</v>
      </c>
      <c r="K10" s="57" t="s">
        <v>29</v>
      </c>
      <c r="L10" s="57" t="s">
        <v>222</v>
      </c>
      <c r="M10" s="57"/>
      <c r="N10" s="87">
        <f>M10</f>
        <v>0</v>
      </c>
      <c r="O10" s="75" t="s">
        <v>253</v>
      </c>
      <c r="P10" s="58" t="s">
        <v>171</v>
      </c>
      <c r="Q10" s="55" t="s">
        <v>172</v>
      </c>
      <c r="R10" s="59">
        <v>4</v>
      </c>
      <c r="S10" s="56">
        <f t="shared" si="0"/>
        <v>3</v>
      </c>
      <c r="T10" s="71" t="e">
        <f>ROUNDUP((#REF!*R10)+(#REF!*S10)+(#REF!*(R10*2)),2)</f>
        <v>#REF!</v>
      </c>
    </row>
    <row r="11" spans="1:21" ht="18.75" customHeight="1" x14ac:dyDescent="0.15">
      <c r="A11" s="359"/>
      <c r="B11" s="75"/>
      <c r="C11" s="54" t="s">
        <v>255</v>
      </c>
      <c r="D11" s="55"/>
      <c r="E11" s="56">
        <v>10</v>
      </c>
      <c r="F11" s="57" t="s">
        <v>29</v>
      </c>
      <c r="G11" s="79"/>
      <c r="H11" s="83" t="s">
        <v>255</v>
      </c>
      <c r="I11" s="55"/>
      <c r="J11" s="57">
        <f>ROUNDUP(E11*0.75,2)</f>
        <v>7.5</v>
      </c>
      <c r="K11" s="57" t="s">
        <v>29</v>
      </c>
      <c r="L11" s="57"/>
      <c r="M11" s="57"/>
      <c r="N11" s="87">
        <f>M11</f>
        <v>0</v>
      </c>
      <c r="O11" s="75" t="s">
        <v>254</v>
      </c>
      <c r="P11" s="58" t="s">
        <v>43</v>
      </c>
      <c r="Q11" s="55"/>
      <c r="R11" s="59">
        <v>0.1</v>
      </c>
      <c r="S11" s="56">
        <f t="shared" si="0"/>
        <v>0.08</v>
      </c>
      <c r="T11" s="71" t="e">
        <f>ROUNDUP((#REF!*R11)+(#REF!*S11)+(#REF!*(R11*2)),2)</f>
        <v>#REF!</v>
      </c>
    </row>
    <row r="12" spans="1:21" ht="18.75" customHeight="1" x14ac:dyDescent="0.15">
      <c r="A12" s="359"/>
      <c r="B12" s="75"/>
      <c r="C12" s="54"/>
      <c r="D12" s="55"/>
      <c r="E12" s="56"/>
      <c r="F12" s="57"/>
      <c r="G12" s="79"/>
      <c r="H12" s="83"/>
      <c r="I12" s="55"/>
      <c r="J12" s="57"/>
      <c r="K12" s="57"/>
      <c r="L12" s="57"/>
      <c r="M12" s="57"/>
      <c r="N12" s="87"/>
      <c r="O12" s="75" t="s">
        <v>54</v>
      </c>
      <c r="P12" s="58" t="s">
        <v>78</v>
      </c>
      <c r="Q12" s="55"/>
      <c r="R12" s="59">
        <v>0.01</v>
      </c>
      <c r="S12" s="56">
        <f t="shared" si="0"/>
        <v>0.01</v>
      </c>
      <c r="T12" s="71" t="e">
        <f>ROUNDUP((#REF!*R12)+(#REF!*S12)+(#REF!*(R12*2)),2)</f>
        <v>#REF!</v>
      </c>
    </row>
    <row r="13" spans="1:21" ht="18.75" customHeight="1" x14ac:dyDescent="0.15">
      <c r="A13" s="359"/>
      <c r="B13" s="75"/>
      <c r="C13" s="54"/>
      <c r="D13" s="55"/>
      <c r="E13" s="56"/>
      <c r="F13" s="57"/>
      <c r="G13" s="79"/>
      <c r="H13" s="83"/>
      <c r="I13" s="55"/>
      <c r="J13" s="57"/>
      <c r="K13" s="57"/>
      <c r="L13" s="57"/>
      <c r="M13" s="57"/>
      <c r="N13" s="87"/>
      <c r="O13" s="75"/>
      <c r="P13" s="58" t="s">
        <v>50</v>
      </c>
      <c r="Q13" s="55"/>
      <c r="R13" s="59">
        <v>10</v>
      </c>
      <c r="S13" s="56">
        <f t="shared" si="0"/>
        <v>7.5</v>
      </c>
      <c r="T13" s="71" t="e">
        <f>ROUNDUP((#REF!*R13)+(#REF!*S13)+(#REF!*(R13*2)),2)</f>
        <v>#REF!</v>
      </c>
    </row>
    <row r="14" spans="1:21" ht="18.75" customHeight="1" x14ac:dyDescent="0.15">
      <c r="A14" s="359"/>
      <c r="B14" s="75"/>
      <c r="C14" s="54"/>
      <c r="D14" s="55"/>
      <c r="E14" s="56"/>
      <c r="F14" s="57"/>
      <c r="G14" s="79"/>
      <c r="H14" s="83"/>
      <c r="I14" s="55"/>
      <c r="J14" s="57"/>
      <c r="K14" s="57"/>
      <c r="L14" s="57"/>
      <c r="M14" s="57"/>
      <c r="N14" s="87"/>
      <c r="O14" s="75"/>
      <c r="P14" s="58" t="s">
        <v>24</v>
      </c>
      <c r="Q14" s="55"/>
      <c r="R14" s="59">
        <v>0.5</v>
      </c>
      <c r="S14" s="56">
        <f t="shared" si="0"/>
        <v>0.38</v>
      </c>
      <c r="T14" s="71" t="e">
        <f>ROUNDUP((#REF!*R14)+(#REF!*S14)+(#REF!*(R14*2)),2)</f>
        <v>#REF!</v>
      </c>
    </row>
    <row r="15" spans="1:21" ht="18.75" customHeight="1" x14ac:dyDescent="0.15">
      <c r="A15" s="359"/>
      <c r="B15" s="74"/>
      <c r="C15" s="48"/>
      <c r="D15" s="49"/>
      <c r="E15" s="50"/>
      <c r="F15" s="51"/>
      <c r="G15" s="78"/>
      <c r="H15" s="82"/>
      <c r="I15" s="49"/>
      <c r="J15" s="51"/>
      <c r="K15" s="51"/>
      <c r="L15" s="51"/>
      <c r="M15" s="51"/>
      <c r="N15" s="86"/>
      <c r="O15" s="74"/>
      <c r="P15" s="52"/>
      <c r="Q15" s="49"/>
      <c r="R15" s="53"/>
      <c r="S15" s="50"/>
      <c r="T15" s="70"/>
    </row>
    <row r="16" spans="1:21" ht="18.75" customHeight="1" x14ac:dyDescent="0.15">
      <c r="A16" s="359"/>
      <c r="B16" s="75" t="s">
        <v>256</v>
      </c>
      <c r="C16" s="54" t="s">
        <v>237</v>
      </c>
      <c r="D16" s="55"/>
      <c r="E16" s="56">
        <v>50</v>
      </c>
      <c r="F16" s="57" t="s">
        <v>29</v>
      </c>
      <c r="G16" s="79" t="s">
        <v>31</v>
      </c>
      <c r="H16" s="83" t="s">
        <v>237</v>
      </c>
      <c r="I16" s="55"/>
      <c r="J16" s="57">
        <f>ROUNDUP(E16*0.75,2)</f>
        <v>37.5</v>
      </c>
      <c r="K16" s="57" t="s">
        <v>29</v>
      </c>
      <c r="L16" s="57" t="s">
        <v>31</v>
      </c>
      <c r="M16" s="57"/>
      <c r="N16" s="87">
        <f>M16</f>
        <v>0</v>
      </c>
      <c r="O16" s="75" t="s">
        <v>257</v>
      </c>
      <c r="P16" s="58" t="s">
        <v>50</v>
      </c>
      <c r="Q16" s="55"/>
      <c r="R16" s="59">
        <v>20</v>
      </c>
      <c r="S16" s="56">
        <f>ROUNDUP(R16*0.75,2)</f>
        <v>15</v>
      </c>
      <c r="T16" s="71" t="e">
        <f>ROUNDUP((#REF!*R16)+(#REF!*S16)+(#REF!*(R16*2)),2)</f>
        <v>#REF!</v>
      </c>
    </row>
    <row r="17" spans="1:20" ht="18.75" customHeight="1" x14ac:dyDescent="0.15">
      <c r="A17" s="359"/>
      <c r="B17" s="75"/>
      <c r="C17" s="54"/>
      <c r="D17" s="55"/>
      <c r="E17" s="56"/>
      <c r="F17" s="57"/>
      <c r="G17" s="79"/>
      <c r="H17" s="83"/>
      <c r="I17" s="55"/>
      <c r="J17" s="57"/>
      <c r="K17" s="57"/>
      <c r="L17" s="57"/>
      <c r="M17" s="57"/>
      <c r="N17" s="87"/>
      <c r="O17" s="75" t="s">
        <v>287</v>
      </c>
      <c r="P17" s="58" t="s">
        <v>43</v>
      </c>
      <c r="Q17" s="55"/>
      <c r="R17" s="59">
        <v>0.1</v>
      </c>
      <c r="S17" s="56">
        <f>ROUNDUP(R17*0.75,2)</f>
        <v>0.08</v>
      </c>
      <c r="T17" s="71" t="e">
        <f>ROUNDUP((#REF!*R17)+(#REF!*S17)+(#REF!*(R17*2)),2)</f>
        <v>#REF!</v>
      </c>
    </row>
    <row r="18" spans="1:20" ht="18.75" customHeight="1" x14ac:dyDescent="0.15">
      <c r="A18" s="359"/>
      <c r="B18" s="75"/>
      <c r="C18" s="54"/>
      <c r="D18" s="55"/>
      <c r="E18" s="56"/>
      <c r="F18" s="57"/>
      <c r="G18" s="79"/>
      <c r="H18" s="83"/>
      <c r="I18" s="55"/>
      <c r="J18" s="57"/>
      <c r="K18" s="57"/>
      <c r="L18" s="57"/>
      <c r="M18" s="57"/>
      <c r="N18" s="87"/>
      <c r="O18" s="75" t="s">
        <v>288</v>
      </c>
      <c r="P18" s="58" t="s">
        <v>24</v>
      </c>
      <c r="Q18" s="55"/>
      <c r="R18" s="59">
        <v>1</v>
      </c>
      <c r="S18" s="56">
        <f>ROUNDUP(R18*0.75,2)</f>
        <v>0.75</v>
      </c>
      <c r="T18" s="71" t="e">
        <f>ROUNDUP((#REF!*R18)+(#REF!*S18)+(#REF!*(R18*2)),2)</f>
        <v>#REF!</v>
      </c>
    </row>
    <row r="19" spans="1:20" ht="18.75" customHeight="1" x14ac:dyDescent="0.15">
      <c r="A19" s="359"/>
      <c r="B19" s="75"/>
      <c r="C19" s="54"/>
      <c r="D19" s="55"/>
      <c r="E19" s="56"/>
      <c r="F19" s="57"/>
      <c r="G19" s="79"/>
      <c r="H19" s="83"/>
      <c r="I19" s="55"/>
      <c r="J19" s="57"/>
      <c r="K19" s="57"/>
      <c r="L19" s="57"/>
      <c r="M19" s="57"/>
      <c r="N19" s="87"/>
      <c r="O19" s="75" t="s">
        <v>258</v>
      </c>
      <c r="P19" s="58" t="s">
        <v>76</v>
      </c>
      <c r="Q19" s="55" t="s">
        <v>49</v>
      </c>
      <c r="R19" s="59">
        <v>1</v>
      </c>
      <c r="S19" s="56">
        <f>ROUNDUP(R19*0.75,2)</f>
        <v>0.75</v>
      </c>
      <c r="T19" s="71" t="e">
        <f>ROUNDUP((#REF!*R19)+(#REF!*S19)+(#REF!*(R19*2)),2)</f>
        <v>#REF!</v>
      </c>
    </row>
    <row r="20" spans="1:20" ht="18.75" customHeight="1" x14ac:dyDescent="0.15">
      <c r="A20" s="359"/>
      <c r="B20" s="74"/>
      <c r="C20" s="48"/>
      <c r="D20" s="49"/>
      <c r="E20" s="50"/>
      <c r="F20" s="51"/>
      <c r="G20" s="78"/>
      <c r="H20" s="82"/>
      <c r="I20" s="49"/>
      <c r="J20" s="51"/>
      <c r="K20" s="51"/>
      <c r="L20" s="51"/>
      <c r="M20" s="51"/>
      <c r="N20" s="86"/>
      <c r="O20" s="74" t="s">
        <v>19</v>
      </c>
      <c r="P20" s="52"/>
      <c r="Q20" s="49"/>
      <c r="R20" s="53"/>
      <c r="S20" s="50"/>
      <c r="T20" s="70"/>
    </row>
    <row r="21" spans="1:20" ht="18.75" customHeight="1" x14ac:dyDescent="0.15">
      <c r="A21" s="359"/>
      <c r="B21" s="75" t="s">
        <v>63</v>
      </c>
      <c r="C21" s="54" t="s">
        <v>34</v>
      </c>
      <c r="D21" s="55"/>
      <c r="E21" s="56">
        <v>20</v>
      </c>
      <c r="F21" s="57" t="s">
        <v>29</v>
      </c>
      <c r="G21" s="79" t="s">
        <v>31</v>
      </c>
      <c r="H21" s="83" t="s">
        <v>34</v>
      </c>
      <c r="I21" s="55"/>
      <c r="J21" s="57">
        <f>ROUNDUP(E21*0.75,2)</f>
        <v>15</v>
      </c>
      <c r="K21" s="57" t="s">
        <v>29</v>
      </c>
      <c r="L21" s="57" t="s">
        <v>31</v>
      </c>
      <c r="M21" s="57"/>
      <c r="N21" s="87">
        <f>M21</f>
        <v>0</v>
      </c>
      <c r="O21" s="75" t="s">
        <v>19</v>
      </c>
      <c r="P21" s="58" t="s">
        <v>23</v>
      </c>
      <c r="Q21" s="55"/>
      <c r="R21" s="59">
        <v>100</v>
      </c>
      <c r="S21" s="56">
        <f>ROUNDUP(R21*0.75,2)</f>
        <v>75</v>
      </c>
      <c r="T21" s="71" t="e">
        <f>ROUNDUP((#REF!*R21)+(#REF!*S21)+(#REF!*(R21*2)),2)</f>
        <v>#REF!</v>
      </c>
    </row>
    <row r="22" spans="1:20" ht="18.75" customHeight="1" x14ac:dyDescent="0.15">
      <c r="A22" s="359"/>
      <c r="B22" s="75"/>
      <c r="C22" s="54" t="s">
        <v>259</v>
      </c>
      <c r="D22" s="55"/>
      <c r="E22" s="56">
        <v>3</v>
      </c>
      <c r="F22" s="57" t="s">
        <v>29</v>
      </c>
      <c r="G22" s="79"/>
      <c r="H22" s="83" t="s">
        <v>259</v>
      </c>
      <c r="I22" s="55"/>
      <c r="J22" s="57">
        <f>ROUNDUP(E22*0.75,2)</f>
        <v>2.25</v>
      </c>
      <c r="K22" s="57" t="s">
        <v>29</v>
      </c>
      <c r="L22" s="57"/>
      <c r="M22" s="57"/>
      <c r="N22" s="87">
        <f>M22</f>
        <v>0</v>
      </c>
      <c r="O22" s="75"/>
      <c r="P22" s="58" t="s">
        <v>66</v>
      </c>
      <c r="Q22" s="55"/>
      <c r="R22" s="59">
        <v>3</v>
      </c>
      <c r="S22" s="56">
        <f>ROUNDUP(R22*0.75,2)</f>
        <v>2.25</v>
      </c>
      <c r="T22" s="71" t="e">
        <f>ROUNDUP((#REF!*R22)+(#REF!*S22)+(#REF!*(R22*2)),2)</f>
        <v>#REF!</v>
      </c>
    </row>
    <row r="23" spans="1:20" ht="18.75" customHeight="1" x14ac:dyDescent="0.15">
      <c r="A23" s="359"/>
      <c r="B23" s="74"/>
      <c r="C23" s="48"/>
      <c r="D23" s="49"/>
      <c r="E23" s="50"/>
      <c r="F23" s="51"/>
      <c r="G23" s="78"/>
      <c r="H23" s="82"/>
      <c r="I23" s="49"/>
      <c r="J23" s="51"/>
      <c r="K23" s="51"/>
      <c r="L23" s="51"/>
      <c r="M23" s="51"/>
      <c r="N23" s="86"/>
      <c r="O23" s="74"/>
      <c r="P23" s="52"/>
      <c r="Q23" s="49"/>
      <c r="R23" s="53"/>
      <c r="S23" s="50"/>
      <c r="T23" s="70"/>
    </row>
    <row r="24" spans="1:20" ht="18.75" customHeight="1" x14ac:dyDescent="0.15">
      <c r="A24" s="359"/>
      <c r="B24" s="75" t="s">
        <v>249</v>
      </c>
      <c r="C24" s="54" t="s">
        <v>211</v>
      </c>
      <c r="D24" s="55"/>
      <c r="E24" s="56">
        <v>30</v>
      </c>
      <c r="F24" s="57" t="s">
        <v>29</v>
      </c>
      <c r="G24" s="79" t="s">
        <v>31</v>
      </c>
      <c r="H24" s="83" t="s">
        <v>211</v>
      </c>
      <c r="I24" s="55"/>
      <c r="J24" s="57">
        <f>ROUNDUP(E24*0.75,2)</f>
        <v>22.5</v>
      </c>
      <c r="K24" s="57" t="s">
        <v>29</v>
      </c>
      <c r="L24" s="57" t="s">
        <v>31</v>
      </c>
      <c r="M24" s="57"/>
      <c r="N24" s="87">
        <f>M24</f>
        <v>0</v>
      </c>
      <c r="O24" s="75"/>
      <c r="P24" s="58"/>
      <c r="Q24" s="55"/>
      <c r="R24" s="59"/>
      <c r="S24" s="56"/>
      <c r="T24" s="71"/>
    </row>
    <row r="25" spans="1:20" ht="18.75" customHeight="1" thickBot="1" x14ac:dyDescent="0.2">
      <c r="A25" s="360"/>
      <c r="B25" s="76"/>
      <c r="C25" s="61"/>
      <c r="D25" s="62"/>
      <c r="E25" s="63"/>
      <c r="F25" s="64"/>
      <c r="G25" s="80"/>
      <c r="H25" s="84"/>
      <c r="I25" s="62"/>
      <c r="J25" s="64"/>
      <c r="K25" s="64"/>
      <c r="L25" s="64"/>
      <c r="M25" s="64"/>
      <c r="N25" s="88"/>
      <c r="O25" s="76"/>
      <c r="P25" s="65"/>
      <c r="Q25" s="62"/>
      <c r="R25" s="66"/>
      <c r="S25" s="63"/>
      <c r="T25" s="72"/>
    </row>
  </sheetData>
  <mergeCells count="4">
    <mergeCell ref="H1:O1"/>
    <mergeCell ref="A2:T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250</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308</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386</v>
      </c>
      <c r="C9" s="96" t="s">
        <v>95</v>
      </c>
      <c r="D9" s="96" t="s">
        <v>96</v>
      </c>
      <c r="E9" s="55"/>
      <c r="F9" s="121"/>
      <c r="G9" s="136"/>
      <c r="H9" s="147">
        <v>0.7</v>
      </c>
      <c r="I9" s="127" t="s">
        <v>385</v>
      </c>
      <c r="J9" s="96" t="s">
        <v>95</v>
      </c>
      <c r="K9" s="146">
        <v>0.3</v>
      </c>
      <c r="L9" s="136" t="s">
        <v>384</v>
      </c>
      <c r="M9" s="96" t="s">
        <v>95</v>
      </c>
      <c r="N9" s="148">
        <v>0.2</v>
      </c>
      <c r="O9" s="111" t="s">
        <v>96</v>
      </c>
    </row>
    <row r="10" spans="1:21" ht="20.100000000000001" customHeight="1" x14ac:dyDescent="0.15">
      <c r="A10" s="379"/>
      <c r="B10" s="96"/>
      <c r="C10" s="96" t="s">
        <v>33</v>
      </c>
      <c r="D10" s="96"/>
      <c r="E10" s="55"/>
      <c r="F10" s="121"/>
      <c r="G10" s="136"/>
      <c r="H10" s="115">
        <v>5</v>
      </c>
      <c r="I10" s="127"/>
      <c r="J10" s="96" t="s">
        <v>33</v>
      </c>
      <c r="K10" s="141">
        <v>5</v>
      </c>
      <c r="L10" s="136"/>
      <c r="M10" s="96" t="s">
        <v>33</v>
      </c>
      <c r="N10" s="115">
        <v>5</v>
      </c>
      <c r="O10" s="111"/>
    </row>
    <row r="11" spans="1:21" ht="20.100000000000001" customHeight="1" x14ac:dyDescent="0.15">
      <c r="A11" s="379"/>
      <c r="B11" s="96"/>
      <c r="C11" s="96" t="s">
        <v>255</v>
      </c>
      <c r="D11" s="96"/>
      <c r="E11" s="55"/>
      <c r="F11" s="121"/>
      <c r="G11" s="136"/>
      <c r="H11" s="115">
        <v>10</v>
      </c>
      <c r="I11" s="127"/>
      <c r="J11" s="96" t="s">
        <v>255</v>
      </c>
      <c r="K11" s="141">
        <v>10</v>
      </c>
      <c r="L11" s="135"/>
      <c r="M11" s="97"/>
      <c r="N11" s="114"/>
      <c r="O11" s="110"/>
    </row>
    <row r="12" spans="1:21" ht="20.100000000000001" customHeight="1" x14ac:dyDescent="0.15">
      <c r="A12" s="379"/>
      <c r="B12" s="96"/>
      <c r="C12" s="96" t="s">
        <v>221</v>
      </c>
      <c r="D12" s="96" t="s">
        <v>222</v>
      </c>
      <c r="E12" s="55"/>
      <c r="F12" s="121"/>
      <c r="G12" s="136"/>
      <c r="H12" s="115">
        <v>5</v>
      </c>
      <c r="I12" s="127"/>
      <c r="J12" s="96" t="s">
        <v>296</v>
      </c>
      <c r="K12" s="143">
        <v>0.13</v>
      </c>
      <c r="L12" s="136" t="s">
        <v>383</v>
      </c>
      <c r="M12" s="96" t="s">
        <v>237</v>
      </c>
      <c r="N12" s="115">
        <v>20</v>
      </c>
      <c r="O12" s="111" t="s">
        <v>31</v>
      </c>
    </row>
    <row r="13" spans="1:21" ht="20.100000000000001" customHeight="1" x14ac:dyDescent="0.15">
      <c r="A13" s="379"/>
      <c r="B13" s="96"/>
      <c r="C13" s="96" t="s">
        <v>35</v>
      </c>
      <c r="D13" s="96"/>
      <c r="E13" s="55" t="s">
        <v>36</v>
      </c>
      <c r="F13" s="121"/>
      <c r="G13" s="136"/>
      <c r="H13" s="144">
        <v>0.13</v>
      </c>
      <c r="I13" s="127"/>
      <c r="J13" s="96"/>
      <c r="K13" s="141"/>
      <c r="L13" s="136"/>
      <c r="M13" s="96" t="s">
        <v>34</v>
      </c>
      <c r="N13" s="115">
        <v>5</v>
      </c>
      <c r="O13" s="111" t="s">
        <v>31</v>
      </c>
    </row>
    <row r="14" spans="1:21" ht="20.100000000000001" customHeight="1" x14ac:dyDescent="0.15">
      <c r="A14" s="379"/>
      <c r="B14" s="96"/>
      <c r="C14" s="96"/>
      <c r="D14" s="96"/>
      <c r="E14" s="55"/>
      <c r="F14" s="121"/>
      <c r="G14" s="136" t="s">
        <v>50</v>
      </c>
      <c r="H14" s="115" t="s">
        <v>292</v>
      </c>
      <c r="I14" s="127"/>
      <c r="J14" s="96"/>
      <c r="K14" s="141"/>
      <c r="L14" s="136"/>
      <c r="M14" s="96"/>
      <c r="N14" s="115"/>
      <c r="O14" s="111"/>
    </row>
    <row r="15" spans="1:21" ht="20.100000000000001" customHeight="1" x14ac:dyDescent="0.15">
      <c r="A15" s="379"/>
      <c r="B15" s="96"/>
      <c r="C15" s="96"/>
      <c r="D15" s="96"/>
      <c r="E15" s="55"/>
      <c r="F15" s="121"/>
      <c r="G15" s="136" t="s">
        <v>43</v>
      </c>
      <c r="H15" s="115" t="s">
        <v>294</v>
      </c>
      <c r="I15" s="126"/>
      <c r="J15" s="97"/>
      <c r="K15" s="139"/>
      <c r="L15" s="136"/>
      <c r="M15" s="96"/>
      <c r="N15" s="115"/>
      <c r="O15" s="111"/>
    </row>
    <row r="16" spans="1:21" ht="20.100000000000001" customHeight="1" x14ac:dyDescent="0.15">
      <c r="A16" s="379"/>
      <c r="B16" s="97"/>
      <c r="C16" s="97"/>
      <c r="D16" s="97"/>
      <c r="E16" s="49"/>
      <c r="F16" s="120"/>
      <c r="G16" s="135"/>
      <c r="H16" s="114"/>
      <c r="I16" s="127" t="s">
        <v>352</v>
      </c>
      <c r="J16" s="96" t="s">
        <v>237</v>
      </c>
      <c r="K16" s="141">
        <v>20</v>
      </c>
      <c r="L16" s="136"/>
      <c r="M16" s="96"/>
      <c r="N16" s="115"/>
      <c r="O16" s="111"/>
    </row>
    <row r="17" spans="1:15" ht="20.100000000000001" customHeight="1" x14ac:dyDescent="0.15">
      <c r="A17" s="379"/>
      <c r="B17" s="96" t="s">
        <v>352</v>
      </c>
      <c r="C17" s="96" t="s">
        <v>237</v>
      </c>
      <c r="D17" s="96" t="s">
        <v>31</v>
      </c>
      <c r="E17" s="55"/>
      <c r="F17" s="121"/>
      <c r="G17" s="136"/>
      <c r="H17" s="115">
        <v>20</v>
      </c>
      <c r="I17" s="127"/>
      <c r="J17" s="96"/>
      <c r="K17" s="141"/>
      <c r="L17" s="136"/>
      <c r="M17" s="96"/>
      <c r="N17" s="115"/>
      <c r="O17" s="111"/>
    </row>
    <row r="18" spans="1:15" ht="20.100000000000001" customHeight="1" x14ac:dyDescent="0.15">
      <c r="A18" s="379"/>
      <c r="B18" s="96"/>
      <c r="C18" s="96"/>
      <c r="D18" s="96"/>
      <c r="E18" s="55"/>
      <c r="F18" s="121"/>
      <c r="G18" s="136" t="s">
        <v>23</v>
      </c>
      <c r="H18" s="115" t="s">
        <v>292</v>
      </c>
      <c r="I18" s="126"/>
      <c r="J18" s="97"/>
      <c r="K18" s="139"/>
      <c r="L18" s="136"/>
      <c r="M18" s="96"/>
      <c r="N18" s="115"/>
      <c r="O18" s="111"/>
    </row>
    <row r="19" spans="1:15" ht="20.100000000000001" customHeight="1" x14ac:dyDescent="0.15">
      <c r="A19" s="379"/>
      <c r="B19" s="97"/>
      <c r="C19" s="97"/>
      <c r="D19" s="97"/>
      <c r="E19" s="49"/>
      <c r="F19" s="145"/>
      <c r="G19" s="135"/>
      <c r="H19" s="114"/>
      <c r="I19" s="127" t="s">
        <v>63</v>
      </c>
      <c r="J19" s="96" t="s">
        <v>34</v>
      </c>
      <c r="K19" s="141">
        <v>5</v>
      </c>
      <c r="L19" s="136"/>
      <c r="M19" s="96"/>
      <c r="N19" s="115"/>
      <c r="O19" s="111"/>
    </row>
    <row r="20" spans="1:15" ht="20.100000000000001" customHeight="1" x14ac:dyDescent="0.15">
      <c r="A20" s="379"/>
      <c r="B20" s="96" t="s">
        <v>63</v>
      </c>
      <c r="C20" s="96" t="s">
        <v>34</v>
      </c>
      <c r="D20" s="96" t="s">
        <v>31</v>
      </c>
      <c r="E20" s="55"/>
      <c r="F20" s="121"/>
      <c r="G20" s="136"/>
      <c r="H20" s="115">
        <v>10</v>
      </c>
      <c r="I20" s="127"/>
      <c r="J20" s="96"/>
      <c r="K20" s="141"/>
      <c r="L20" s="136"/>
      <c r="M20" s="96"/>
      <c r="N20" s="115"/>
      <c r="O20" s="111"/>
    </row>
    <row r="21" spans="1:15" ht="20.100000000000001" customHeight="1" x14ac:dyDescent="0.15">
      <c r="A21" s="379"/>
      <c r="B21" s="96"/>
      <c r="C21" s="96"/>
      <c r="D21" s="96"/>
      <c r="E21" s="55"/>
      <c r="F21" s="121"/>
      <c r="G21" s="136" t="s">
        <v>23</v>
      </c>
      <c r="H21" s="115" t="s">
        <v>292</v>
      </c>
      <c r="I21" s="127"/>
      <c r="J21" s="96"/>
      <c r="K21" s="141"/>
      <c r="L21" s="136"/>
      <c r="M21" s="96"/>
      <c r="N21" s="115"/>
      <c r="O21" s="111"/>
    </row>
    <row r="22" spans="1:15" ht="20.100000000000001" customHeight="1" x14ac:dyDescent="0.15">
      <c r="A22" s="379"/>
      <c r="B22" s="96"/>
      <c r="C22" s="96"/>
      <c r="D22" s="96"/>
      <c r="E22" s="55"/>
      <c r="F22" s="121"/>
      <c r="G22" s="136" t="s">
        <v>66</v>
      </c>
      <c r="H22" s="115" t="s">
        <v>294</v>
      </c>
      <c r="I22" s="127"/>
      <c r="J22" s="96"/>
      <c r="K22" s="141"/>
      <c r="L22" s="136"/>
      <c r="M22" s="96"/>
      <c r="N22" s="115"/>
      <c r="O22" s="111"/>
    </row>
    <row r="23" spans="1:15" ht="20.100000000000001" customHeight="1" thickBot="1" x14ac:dyDescent="0.2">
      <c r="A23" s="380"/>
      <c r="B23" s="95"/>
      <c r="C23" s="95"/>
      <c r="D23" s="95"/>
      <c r="E23" s="62"/>
      <c r="F23" s="123"/>
      <c r="G23" s="137"/>
      <c r="H23" s="117"/>
      <c r="I23" s="128"/>
      <c r="J23" s="95"/>
      <c r="K23" s="142"/>
      <c r="L23" s="137"/>
      <c r="M23" s="95"/>
      <c r="N23" s="117"/>
      <c r="O23" s="112"/>
    </row>
    <row r="24" spans="1:15" ht="20.100000000000001" customHeight="1" x14ac:dyDescent="0.15">
      <c r="B24" s="94"/>
      <c r="C24" s="94"/>
      <c r="D24" s="94"/>
      <c r="G24" s="94"/>
      <c r="H24" s="93"/>
      <c r="I24" s="94"/>
      <c r="J24" s="94"/>
      <c r="K24" s="93"/>
      <c r="L24" s="94"/>
      <c r="M24" s="94"/>
      <c r="N24" s="93"/>
    </row>
    <row r="25" spans="1:15" ht="20.100000000000001" customHeight="1" x14ac:dyDescent="0.15">
      <c r="B25" s="94"/>
      <c r="C25" s="94"/>
      <c r="D25" s="94"/>
      <c r="G25" s="94"/>
      <c r="H25" s="93"/>
      <c r="I25" s="94"/>
      <c r="J25" s="94"/>
      <c r="K25" s="93"/>
      <c r="L25" s="94"/>
      <c r="M25" s="94"/>
      <c r="N25" s="93"/>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3">
    <mergeCell ref="A7:A23"/>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260</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201</v>
      </c>
      <c r="C5" s="42" t="s">
        <v>184</v>
      </c>
      <c r="D5" s="43"/>
      <c r="E5" s="44">
        <v>30</v>
      </c>
      <c r="F5" s="45" t="s">
        <v>29</v>
      </c>
      <c r="G5" s="77" t="s">
        <v>55</v>
      </c>
      <c r="H5" s="81" t="s">
        <v>184</v>
      </c>
      <c r="I5" s="43"/>
      <c r="J5" s="45">
        <f>ROUNDUP(E5*0.75,2)</f>
        <v>22.5</v>
      </c>
      <c r="K5" s="45" t="s">
        <v>29</v>
      </c>
      <c r="L5" s="45" t="s">
        <v>55</v>
      </c>
      <c r="M5" s="45"/>
      <c r="N5" s="85">
        <f>M5</f>
        <v>0</v>
      </c>
      <c r="O5" s="73" t="s">
        <v>202</v>
      </c>
      <c r="P5" s="46" t="s">
        <v>18</v>
      </c>
      <c r="Q5" s="43"/>
      <c r="R5" s="47">
        <v>110</v>
      </c>
      <c r="S5" s="44">
        <f t="shared" ref="S5:S15" si="0">ROUNDUP(R5*0.75,2)</f>
        <v>82.5</v>
      </c>
      <c r="T5" s="69" t="e">
        <f>ROUNDUP((#REF!*R5)+(#REF!*S5)+(#REF!*(R5*2)),2)</f>
        <v>#REF!</v>
      </c>
    </row>
    <row r="6" spans="1:21" ht="18.75" customHeight="1" x14ac:dyDescent="0.15">
      <c r="A6" s="359"/>
      <c r="B6" s="75"/>
      <c r="C6" s="54" t="s">
        <v>60</v>
      </c>
      <c r="D6" s="55"/>
      <c r="E6" s="56">
        <v>20</v>
      </c>
      <c r="F6" s="57" t="s">
        <v>29</v>
      </c>
      <c r="G6" s="79" t="s">
        <v>31</v>
      </c>
      <c r="H6" s="83" t="s">
        <v>60</v>
      </c>
      <c r="I6" s="55"/>
      <c r="J6" s="57">
        <f>ROUNDUP(E6*0.75,2)</f>
        <v>15</v>
      </c>
      <c r="K6" s="57" t="s">
        <v>29</v>
      </c>
      <c r="L6" s="57" t="s">
        <v>31</v>
      </c>
      <c r="M6" s="57"/>
      <c r="N6" s="87">
        <f>M6</f>
        <v>0</v>
      </c>
      <c r="O6" s="75" t="s">
        <v>203</v>
      </c>
      <c r="P6" s="58" t="s">
        <v>62</v>
      </c>
      <c r="Q6" s="55"/>
      <c r="R6" s="59">
        <v>1</v>
      </c>
      <c r="S6" s="56">
        <f t="shared" si="0"/>
        <v>0.75</v>
      </c>
      <c r="T6" s="71" t="e">
        <f>ROUNDUP((#REF!*R6)+(#REF!*S6)+(#REF!*(R6*2)),2)</f>
        <v>#REF!</v>
      </c>
    </row>
    <row r="7" spans="1:21" ht="18.75" customHeight="1" x14ac:dyDescent="0.15">
      <c r="A7" s="359"/>
      <c r="B7" s="75"/>
      <c r="C7" s="54" t="s">
        <v>61</v>
      </c>
      <c r="D7" s="55"/>
      <c r="E7" s="56">
        <v>10</v>
      </c>
      <c r="F7" s="57" t="s">
        <v>29</v>
      </c>
      <c r="G7" s="79"/>
      <c r="H7" s="83" t="s">
        <v>61</v>
      </c>
      <c r="I7" s="55"/>
      <c r="J7" s="57">
        <f>ROUNDUP(E7*0.75,2)</f>
        <v>7.5</v>
      </c>
      <c r="K7" s="57" t="s">
        <v>29</v>
      </c>
      <c r="L7" s="57"/>
      <c r="M7" s="57"/>
      <c r="N7" s="87">
        <f>ROUND(M7+(M7*3/100),2)</f>
        <v>0</v>
      </c>
      <c r="O7" s="75" t="s">
        <v>204</v>
      </c>
      <c r="P7" s="58" t="s">
        <v>50</v>
      </c>
      <c r="Q7" s="55"/>
      <c r="R7" s="59">
        <v>20</v>
      </c>
      <c r="S7" s="56">
        <f t="shared" si="0"/>
        <v>15</v>
      </c>
      <c r="T7" s="71" t="e">
        <f>ROUNDUP((#REF!*R7)+(#REF!*S7)+(#REF!*(R7*2)),2)</f>
        <v>#REF!</v>
      </c>
    </row>
    <row r="8" spans="1:21" ht="18.75" customHeight="1" x14ac:dyDescent="0.15">
      <c r="A8" s="359"/>
      <c r="B8" s="75"/>
      <c r="C8" s="54" t="s">
        <v>158</v>
      </c>
      <c r="D8" s="55"/>
      <c r="E8" s="56">
        <v>2</v>
      </c>
      <c r="F8" s="57" t="s">
        <v>29</v>
      </c>
      <c r="G8" s="79" t="s">
        <v>117</v>
      </c>
      <c r="H8" s="83" t="s">
        <v>158</v>
      </c>
      <c r="I8" s="55"/>
      <c r="J8" s="57">
        <f>ROUNDUP(E8*0.75,2)</f>
        <v>1.5</v>
      </c>
      <c r="K8" s="57" t="s">
        <v>29</v>
      </c>
      <c r="L8" s="57" t="s">
        <v>117</v>
      </c>
      <c r="M8" s="57"/>
      <c r="N8" s="87">
        <f>M8</f>
        <v>0</v>
      </c>
      <c r="O8" s="75" t="s">
        <v>205</v>
      </c>
      <c r="P8" s="58" t="s">
        <v>24</v>
      </c>
      <c r="Q8" s="55"/>
      <c r="R8" s="59">
        <v>2</v>
      </c>
      <c r="S8" s="56">
        <f t="shared" si="0"/>
        <v>1.5</v>
      </c>
      <c r="T8" s="71" t="e">
        <f>ROUNDUP((#REF!*R8)+(#REF!*S8)+(#REF!*(R8*2)),2)</f>
        <v>#REF!</v>
      </c>
    </row>
    <row r="9" spans="1:21" ht="18.75" customHeight="1" x14ac:dyDescent="0.15">
      <c r="A9" s="359"/>
      <c r="B9" s="75"/>
      <c r="C9" s="54" t="s">
        <v>35</v>
      </c>
      <c r="D9" s="55" t="s">
        <v>36</v>
      </c>
      <c r="E9" s="67">
        <v>0.25</v>
      </c>
      <c r="F9" s="57" t="s">
        <v>32</v>
      </c>
      <c r="G9" s="79"/>
      <c r="H9" s="83" t="s">
        <v>35</v>
      </c>
      <c r="I9" s="55" t="s">
        <v>36</v>
      </c>
      <c r="J9" s="57">
        <f>ROUNDUP(E9*0.75,2)</f>
        <v>0.19</v>
      </c>
      <c r="K9" s="57" t="s">
        <v>32</v>
      </c>
      <c r="L9" s="57"/>
      <c r="M9" s="57"/>
      <c r="N9" s="87">
        <f>M9</f>
        <v>0</v>
      </c>
      <c r="O9" s="75" t="s">
        <v>54</v>
      </c>
      <c r="P9" s="58" t="s">
        <v>27</v>
      </c>
      <c r="Q9" s="55"/>
      <c r="R9" s="59">
        <v>1</v>
      </c>
      <c r="S9" s="56">
        <f t="shared" si="0"/>
        <v>0.75</v>
      </c>
      <c r="T9" s="71" t="e">
        <f>ROUNDUP((#REF!*R9)+(#REF!*S9)+(#REF!*(R9*2)),2)</f>
        <v>#REF!</v>
      </c>
    </row>
    <row r="10" spans="1:21" ht="18.75" customHeight="1" x14ac:dyDescent="0.15">
      <c r="A10" s="359"/>
      <c r="B10" s="75"/>
      <c r="C10" s="54"/>
      <c r="D10" s="55"/>
      <c r="E10" s="56"/>
      <c r="F10" s="57"/>
      <c r="G10" s="79"/>
      <c r="H10" s="83"/>
      <c r="I10" s="55"/>
      <c r="J10" s="57"/>
      <c r="K10" s="57"/>
      <c r="L10" s="57"/>
      <c r="M10" s="57"/>
      <c r="N10" s="87"/>
      <c r="O10" s="75"/>
      <c r="P10" s="58" t="s">
        <v>66</v>
      </c>
      <c r="Q10" s="55"/>
      <c r="R10" s="59">
        <v>3</v>
      </c>
      <c r="S10" s="56">
        <f t="shared" si="0"/>
        <v>2.25</v>
      </c>
      <c r="T10" s="71" t="e">
        <f>ROUNDUP((#REF!*R10)+(#REF!*S10)+(#REF!*(R10*2)),2)</f>
        <v>#REF!</v>
      </c>
    </row>
    <row r="11" spans="1:21" ht="18.75" customHeight="1" x14ac:dyDescent="0.15">
      <c r="A11" s="359"/>
      <c r="B11" s="75"/>
      <c r="C11" s="54"/>
      <c r="D11" s="55"/>
      <c r="E11" s="56"/>
      <c r="F11" s="57"/>
      <c r="G11" s="79"/>
      <c r="H11" s="83"/>
      <c r="I11" s="55"/>
      <c r="J11" s="57"/>
      <c r="K11" s="57"/>
      <c r="L11" s="57"/>
      <c r="M11" s="57"/>
      <c r="N11" s="87"/>
      <c r="O11" s="75"/>
      <c r="P11" s="58" t="s">
        <v>62</v>
      </c>
      <c r="Q11" s="55"/>
      <c r="R11" s="59">
        <v>1</v>
      </c>
      <c r="S11" s="56">
        <f t="shared" si="0"/>
        <v>0.75</v>
      </c>
      <c r="T11" s="71" t="e">
        <f>ROUNDUP((#REF!*R11)+(#REF!*S11)+(#REF!*(R11*2)),2)</f>
        <v>#REF!</v>
      </c>
    </row>
    <row r="12" spans="1:21" ht="18.75" customHeight="1" x14ac:dyDescent="0.15">
      <c r="A12" s="359"/>
      <c r="B12" s="75"/>
      <c r="C12" s="54"/>
      <c r="D12" s="55"/>
      <c r="E12" s="56"/>
      <c r="F12" s="57"/>
      <c r="G12" s="79"/>
      <c r="H12" s="83"/>
      <c r="I12" s="55"/>
      <c r="J12" s="57"/>
      <c r="K12" s="57"/>
      <c r="L12" s="57"/>
      <c r="M12" s="57"/>
      <c r="N12" s="87"/>
      <c r="O12" s="75"/>
      <c r="P12" s="58" t="s">
        <v>43</v>
      </c>
      <c r="Q12" s="55"/>
      <c r="R12" s="59">
        <v>0.2</v>
      </c>
      <c r="S12" s="56">
        <f t="shared" si="0"/>
        <v>0.15</v>
      </c>
      <c r="T12" s="71" t="e">
        <f>ROUNDUP((#REF!*R12)+(#REF!*S12)+(#REF!*(R12*2)),2)</f>
        <v>#REF!</v>
      </c>
    </row>
    <row r="13" spans="1:21" ht="18.75" customHeight="1" x14ac:dyDescent="0.15">
      <c r="A13" s="359"/>
      <c r="B13" s="75"/>
      <c r="C13" s="54"/>
      <c r="D13" s="55"/>
      <c r="E13" s="56"/>
      <c r="F13" s="57"/>
      <c r="G13" s="79"/>
      <c r="H13" s="83"/>
      <c r="I13" s="55"/>
      <c r="J13" s="57"/>
      <c r="K13" s="57"/>
      <c r="L13" s="57"/>
      <c r="M13" s="57"/>
      <c r="N13" s="87"/>
      <c r="O13" s="75"/>
      <c r="P13" s="58" t="s">
        <v>24</v>
      </c>
      <c r="Q13" s="55"/>
      <c r="R13" s="59">
        <v>0.5</v>
      </c>
      <c r="S13" s="56">
        <f t="shared" si="0"/>
        <v>0.38</v>
      </c>
      <c r="T13" s="71" t="e">
        <f>ROUNDUP((#REF!*R13)+(#REF!*S13)+(#REF!*(R13*2)),2)</f>
        <v>#REF!</v>
      </c>
    </row>
    <row r="14" spans="1:21" ht="18.75" customHeight="1" x14ac:dyDescent="0.15">
      <c r="A14" s="359"/>
      <c r="B14" s="75"/>
      <c r="C14" s="54"/>
      <c r="D14" s="55"/>
      <c r="E14" s="56"/>
      <c r="F14" s="57"/>
      <c r="G14" s="79"/>
      <c r="H14" s="83"/>
      <c r="I14" s="55"/>
      <c r="J14" s="57"/>
      <c r="K14" s="57"/>
      <c r="L14" s="57"/>
      <c r="M14" s="57"/>
      <c r="N14" s="87"/>
      <c r="O14" s="75"/>
      <c r="P14" s="58" t="s">
        <v>43</v>
      </c>
      <c r="Q14" s="55"/>
      <c r="R14" s="59">
        <v>0.05</v>
      </c>
      <c r="S14" s="56">
        <f t="shared" si="0"/>
        <v>0.04</v>
      </c>
      <c r="T14" s="71" t="e">
        <f>ROUNDUP((#REF!*R14)+(#REF!*S14)+(#REF!*(R14*2)),2)</f>
        <v>#REF!</v>
      </c>
    </row>
    <row r="15" spans="1:21" ht="18.75" customHeight="1" x14ac:dyDescent="0.15">
      <c r="A15" s="359"/>
      <c r="B15" s="75"/>
      <c r="C15" s="54"/>
      <c r="D15" s="55"/>
      <c r="E15" s="56"/>
      <c r="F15" s="57"/>
      <c r="G15" s="79"/>
      <c r="H15" s="83"/>
      <c r="I15" s="55"/>
      <c r="J15" s="57"/>
      <c r="K15" s="57"/>
      <c r="L15" s="57"/>
      <c r="M15" s="57"/>
      <c r="N15" s="87"/>
      <c r="O15" s="75"/>
      <c r="P15" s="58" t="s">
        <v>22</v>
      </c>
      <c r="Q15" s="55"/>
      <c r="R15" s="59">
        <v>1</v>
      </c>
      <c r="S15" s="56">
        <f t="shared" si="0"/>
        <v>0.75</v>
      </c>
      <c r="T15" s="71" t="e">
        <f>ROUNDUP((#REF!*R15)+(#REF!*S15)+(#REF!*(R15*2)),2)</f>
        <v>#REF!</v>
      </c>
    </row>
    <row r="16" spans="1:21" ht="18.75" customHeight="1" x14ac:dyDescent="0.15">
      <c r="A16" s="359"/>
      <c r="B16" s="74"/>
      <c r="C16" s="48"/>
      <c r="D16" s="49"/>
      <c r="E16" s="50"/>
      <c r="F16" s="51"/>
      <c r="G16" s="78"/>
      <c r="H16" s="82"/>
      <c r="I16" s="49"/>
      <c r="J16" s="51"/>
      <c r="K16" s="51"/>
      <c r="L16" s="51"/>
      <c r="M16" s="51"/>
      <c r="N16" s="86"/>
      <c r="O16" s="74"/>
      <c r="P16" s="52"/>
      <c r="Q16" s="49"/>
      <c r="R16" s="53"/>
      <c r="S16" s="50"/>
      <c r="T16" s="70"/>
    </row>
    <row r="17" spans="1:20" ht="18.75" customHeight="1" x14ac:dyDescent="0.15">
      <c r="A17" s="359"/>
      <c r="B17" s="75" t="s">
        <v>206</v>
      </c>
      <c r="C17" s="54" t="s">
        <v>58</v>
      </c>
      <c r="D17" s="55"/>
      <c r="E17" s="89">
        <v>0.16666666666666666</v>
      </c>
      <c r="F17" s="57" t="s">
        <v>59</v>
      </c>
      <c r="G17" s="79" t="s">
        <v>39</v>
      </c>
      <c r="H17" s="83" t="s">
        <v>58</v>
      </c>
      <c r="I17" s="55"/>
      <c r="J17" s="57">
        <f>ROUNDUP(E17*0.75,2)</f>
        <v>0.13</v>
      </c>
      <c r="K17" s="57" t="s">
        <v>59</v>
      </c>
      <c r="L17" s="57" t="s">
        <v>39</v>
      </c>
      <c r="M17" s="57"/>
      <c r="N17" s="87">
        <f>M17</f>
        <v>0</v>
      </c>
      <c r="O17" s="75" t="s">
        <v>207</v>
      </c>
      <c r="P17" s="58" t="s">
        <v>24</v>
      </c>
      <c r="Q17" s="55"/>
      <c r="R17" s="59">
        <v>1</v>
      </c>
      <c r="S17" s="56">
        <f>ROUNDUP(R17*0.75,2)</f>
        <v>0.75</v>
      </c>
      <c r="T17" s="71" t="e">
        <f>ROUNDUP((#REF!*R17)+(#REF!*S17)+(#REF!*(R17*2)),2)</f>
        <v>#REF!</v>
      </c>
    </row>
    <row r="18" spans="1:20" ht="18.75" customHeight="1" x14ac:dyDescent="0.15">
      <c r="A18" s="359"/>
      <c r="B18" s="75"/>
      <c r="C18" s="54" t="s">
        <v>84</v>
      </c>
      <c r="D18" s="55"/>
      <c r="E18" s="56">
        <v>10</v>
      </c>
      <c r="F18" s="57" t="s">
        <v>29</v>
      </c>
      <c r="G18" s="79"/>
      <c r="H18" s="83" t="s">
        <v>84</v>
      </c>
      <c r="I18" s="55"/>
      <c r="J18" s="57">
        <f>ROUNDUP(E18*0.75,2)</f>
        <v>7.5</v>
      </c>
      <c r="K18" s="57" t="s">
        <v>29</v>
      </c>
      <c r="L18" s="57"/>
      <c r="M18" s="57"/>
      <c r="N18" s="87">
        <f>ROUND(M18+(M18*2/100),2)</f>
        <v>0</v>
      </c>
      <c r="O18" s="75" t="s">
        <v>208</v>
      </c>
      <c r="P18" s="58" t="s">
        <v>25</v>
      </c>
      <c r="Q18" s="55" t="s">
        <v>26</v>
      </c>
      <c r="R18" s="59">
        <v>0.5</v>
      </c>
      <c r="S18" s="56">
        <f>ROUNDUP(R18*0.75,2)</f>
        <v>0.38</v>
      </c>
      <c r="T18" s="71" t="e">
        <f>ROUNDUP((#REF!*R18)+(#REF!*S18)+(#REF!*(R18*2)),2)</f>
        <v>#REF!</v>
      </c>
    </row>
    <row r="19" spans="1:20" ht="18.75" customHeight="1" x14ac:dyDescent="0.15">
      <c r="A19" s="359"/>
      <c r="B19" s="75"/>
      <c r="C19" s="54" t="s">
        <v>41</v>
      </c>
      <c r="D19" s="55"/>
      <c r="E19" s="56">
        <v>0.5</v>
      </c>
      <c r="F19" s="57" t="s">
        <v>29</v>
      </c>
      <c r="G19" s="79" t="s">
        <v>42</v>
      </c>
      <c r="H19" s="83" t="s">
        <v>41</v>
      </c>
      <c r="I19" s="55"/>
      <c r="J19" s="57">
        <f>ROUNDUP(E19*0.75,2)</f>
        <v>0.38</v>
      </c>
      <c r="K19" s="57" t="s">
        <v>29</v>
      </c>
      <c r="L19" s="57" t="s">
        <v>42</v>
      </c>
      <c r="M19" s="57"/>
      <c r="N19" s="87">
        <f>M19</f>
        <v>0</v>
      </c>
      <c r="O19" s="75" t="s">
        <v>209</v>
      </c>
      <c r="P19" s="58" t="s">
        <v>43</v>
      </c>
      <c r="Q19" s="55"/>
      <c r="R19" s="59">
        <v>0.1</v>
      </c>
      <c r="S19" s="56">
        <f>ROUNDUP(R19*0.75,2)</f>
        <v>0.08</v>
      </c>
      <c r="T19" s="71" t="e">
        <f>ROUNDUP((#REF!*R19)+(#REF!*S19)+(#REF!*(R19*2)),2)</f>
        <v>#REF!</v>
      </c>
    </row>
    <row r="20" spans="1:20" ht="18.75" customHeight="1" x14ac:dyDescent="0.15">
      <c r="A20" s="359"/>
      <c r="B20" s="75"/>
      <c r="C20" s="54"/>
      <c r="D20" s="55"/>
      <c r="E20" s="56"/>
      <c r="F20" s="57"/>
      <c r="G20" s="79"/>
      <c r="H20" s="83"/>
      <c r="I20" s="55"/>
      <c r="J20" s="57"/>
      <c r="K20" s="57"/>
      <c r="L20" s="57"/>
      <c r="M20" s="57"/>
      <c r="N20" s="87"/>
      <c r="O20" s="75" t="s">
        <v>19</v>
      </c>
      <c r="P20" s="58" t="s">
        <v>57</v>
      </c>
      <c r="Q20" s="55"/>
      <c r="R20" s="59">
        <v>2</v>
      </c>
      <c r="S20" s="56">
        <f>ROUNDUP(R20*0.75,2)</f>
        <v>1.5</v>
      </c>
      <c r="T20" s="71" t="e">
        <f>ROUNDUP((#REF!*R20)+(#REF!*S20)+(#REF!*(R20*2)),2)</f>
        <v>#REF!</v>
      </c>
    </row>
    <row r="21" spans="1:20" ht="18.75" customHeight="1" x14ac:dyDescent="0.15">
      <c r="A21" s="359"/>
      <c r="B21" s="75"/>
      <c r="C21" s="54"/>
      <c r="D21" s="55"/>
      <c r="E21" s="56"/>
      <c r="F21" s="57"/>
      <c r="G21" s="79"/>
      <c r="H21" s="83"/>
      <c r="I21" s="55"/>
      <c r="J21" s="57"/>
      <c r="K21" s="57"/>
      <c r="L21" s="57"/>
      <c r="M21" s="57"/>
      <c r="N21" s="87"/>
      <c r="O21" s="75"/>
      <c r="P21" s="58" t="s">
        <v>22</v>
      </c>
      <c r="Q21" s="55"/>
      <c r="R21" s="59">
        <v>2</v>
      </c>
      <c r="S21" s="56">
        <f>ROUNDUP(R21*0.75,2)</f>
        <v>1.5</v>
      </c>
      <c r="T21" s="71" t="e">
        <f>ROUNDUP((#REF!*R21)+(#REF!*S21)+(#REF!*(R21*2)),2)</f>
        <v>#REF!</v>
      </c>
    </row>
    <row r="22" spans="1:20" ht="18.75" customHeight="1" x14ac:dyDescent="0.15">
      <c r="A22" s="359"/>
      <c r="B22" s="74"/>
      <c r="C22" s="48"/>
      <c r="D22" s="49"/>
      <c r="E22" s="50"/>
      <c r="F22" s="51"/>
      <c r="G22" s="78"/>
      <c r="H22" s="82"/>
      <c r="I22" s="49"/>
      <c r="J22" s="51"/>
      <c r="K22" s="51"/>
      <c r="L22" s="51"/>
      <c r="M22" s="51"/>
      <c r="N22" s="86"/>
      <c r="O22" s="74"/>
      <c r="P22" s="52"/>
      <c r="Q22" s="49"/>
      <c r="R22" s="53"/>
      <c r="S22" s="50"/>
      <c r="T22" s="70"/>
    </row>
    <row r="23" spans="1:20" ht="18.75" customHeight="1" x14ac:dyDescent="0.15">
      <c r="A23" s="359"/>
      <c r="B23" s="75" t="s">
        <v>210</v>
      </c>
      <c r="C23" s="54" t="s">
        <v>124</v>
      </c>
      <c r="D23" s="55"/>
      <c r="E23" s="56">
        <v>20</v>
      </c>
      <c r="F23" s="57" t="s">
        <v>29</v>
      </c>
      <c r="G23" s="79"/>
      <c r="H23" s="83" t="s">
        <v>124</v>
      </c>
      <c r="I23" s="55"/>
      <c r="J23" s="57">
        <f>ROUNDUP(E23*0.75,2)</f>
        <v>15</v>
      </c>
      <c r="K23" s="57" t="s">
        <v>29</v>
      </c>
      <c r="L23" s="57"/>
      <c r="M23" s="57"/>
      <c r="N23" s="87">
        <f>ROUND(M23+(M23*10/100),2)</f>
        <v>0</v>
      </c>
      <c r="O23" s="75" t="s">
        <v>19</v>
      </c>
      <c r="P23" s="58" t="s">
        <v>50</v>
      </c>
      <c r="Q23" s="55"/>
      <c r="R23" s="59">
        <v>100</v>
      </c>
      <c r="S23" s="56">
        <f>ROUNDUP(R23*0.75,2)</f>
        <v>75</v>
      </c>
      <c r="T23" s="71" t="e">
        <f>ROUNDUP((#REF!*R23)+(#REF!*S23)+(#REF!*(R23*2)),2)</f>
        <v>#REF!</v>
      </c>
    </row>
    <row r="24" spans="1:20" ht="18.75" customHeight="1" x14ac:dyDescent="0.15">
      <c r="A24" s="359"/>
      <c r="B24" s="75"/>
      <c r="C24" s="54" t="s">
        <v>152</v>
      </c>
      <c r="D24" s="55"/>
      <c r="E24" s="56">
        <v>2</v>
      </c>
      <c r="F24" s="57" t="s">
        <v>29</v>
      </c>
      <c r="G24" s="79"/>
      <c r="H24" s="83" t="s">
        <v>152</v>
      </c>
      <c r="I24" s="55"/>
      <c r="J24" s="57">
        <f>ROUNDUP(E24*0.75,2)</f>
        <v>1.5</v>
      </c>
      <c r="K24" s="57" t="s">
        <v>29</v>
      </c>
      <c r="L24" s="57"/>
      <c r="M24" s="57"/>
      <c r="N24" s="87">
        <f>ROUND(M24+(M24*10/100),2)</f>
        <v>0</v>
      </c>
      <c r="O24" s="75"/>
      <c r="P24" s="58" t="s">
        <v>120</v>
      </c>
      <c r="Q24" s="55"/>
      <c r="R24" s="59">
        <v>0.5</v>
      </c>
      <c r="S24" s="56">
        <f>ROUNDUP(R24*0.75,2)</f>
        <v>0.38</v>
      </c>
      <c r="T24" s="71" t="e">
        <f>ROUNDUP((#REF!*R24)+(#REF!*S24)+(#REF!*(R24*2)),2)</f>
        <v>#REF!</v>
      </c>
    </row>
    <row r="25" spans="1:20" ht="18.75" customHeight="1" x14ac:dyDescent="0.15">
      <c r="A25" s="359"/>
      <c r="B25" s="75"/>
      <c r="C25" s="54"/>
      <c r="D25" s="55"/>
      <c r="E25" s="56"/>
      <c r="F25" s="57"/>
      <c r="G25" s="79"/>
      <c r="H25" s="83"/>
      <c r="I25" s="55"/>
      <c r="J25" s="57"/>
      <c r="K25" s="57"/>
      <c r="L25" s="57"/>
      <c r="M25" s="57"/>
      <c r="N25" s="87"/>
      <c r="O25" s="75"/>
      <c r="P25" s="58" t="s">
        <v>43</v>
      </c>
      <c r="Q25" s="55"/>
      <c r="R25" s="59">
        <v>0.1</v>
      </c>
      <c r="S25" s="56">
        <f>ROUNDUP(R25*0.75,2)</f>
        <v>0.08</v>
      </c>
      <c r="T25" s="71" t="e">
        <f>ROUNDUP((#REF!*R25)+(#REF!*S25)+(#REF!*(R25*2)),2)</f>
        <v>#REF!</v>
      </c>
    </row>
    <row r="26" spans="1:20" ht="18.75" customHeight="1" x14ac:dyDescent="0.15">
      <c r="A26" s="359"/>
      <c r="B26" s="74"/>
      <c r="C26" s="48"/>
      <c r="D26" s="49"/>
      <c r="E26" s="50"/>
      <c r="F26" s="51"/>
      <c r="G26" s="78"/>
      <c r="H26" s="82"/>
      <c r="I26" s="49"/>
      <c r="J26" s="51"/>
      <c r="K26" s="51"/>
      <c r="L26" s="51"/>
      <c r="M26" s="51"/>
      <c r="N26" s="86"/>
      <c r="O26" s="74"/>
      <c r="P26" s="52"/>
      <c r="Q26" s="49"/>
      <c r="R26" s="53"/>
      <c r="S26" s="50"/>
      <c r="T26" s="70"/>
    </row>
    <row r="27" spans="1:20" ht="18.75" customHeight="1" x14ac:dyDescent="0.15">
      <c r="A27" s="359"/>
      <c r="B27" s="75" t="s">
        <v>91</v>
      </c>
      <c r="C27" s="54" t="s">
        <v>93</v>
      </c>
      <c r="D27" s="55"/>
      <c r="E27" s="89">
        <v>0.16666666666666666</v>
      </c>
      <c r="F27" s="57" t="s">
        <v>32</v>
      </c>
      <c r="G27" s="79"/>
      <c r="H27" s="83" t="s">
        <v>93</v>
      </c>
      <c r="I27" s="55"/>
      <c r="J27" s="57">
        <f>ROUNDUP(E27*0.75,2)</f>
        <v>0.13</v>
      </c>
      <c r="K27" s="57" t="s">
        <v>32</v>
      </c>
      <c r="L27" s="57"/>
      <c r="M27" s="57"/>
      <c r="N27" s="87">
        <f>M27</f>
        <v>0</v>
      </c>
      <c r="O27" s="75" t="s">
        <v>92</v>
      </c>
      <c r="P27" s="58"/>
      <c r="Q27" s="55"/>
      <c r="R27" s="59"/>
      <c r="S27" s="56"/>
      <c r="T27" s="71"/>
    </row>
    <row r="28" spans="1:20" ht="18.75" customHeight="1" thickBot="1" x14ac:dyDescent="0.2">
      <c r="A28" s="360"/>
      <c r="B28" s="76"/>
      <c r="C28" s="61"/>
      <c r="D28" s="62"/>
      <c r="E28" s="63"/>
      <c r="F28" s="64"/>
      <c r="G28" s="80"/>
      <c r="H28" s="84"/>
      <c r="I28" s="62"/>
      <c r="J28" s="64"/>
      <c r="K28" s="64"/>
      <c r="L28" s="64"/>
      <c r="M28" s="64"/>
      <c r="N28" s="88"/>
      <c r="O28" s="76"/>
      <c r="P28" s="65"/>
      <c r="Q28" s="62"/>
      <c r="R28" s="66"/>
      <c r="S28" s="63"/>
      <c r="T28" s="72"/>
    </row>
  </sheetData>
  <mergeCells count="4">
    <mergeCell ref="H1:O1"/>
    <mergeCell ref="A2:T2"/>
    <mergeCell ref="A3:F3"/>
    <mergeCell ref="A5:A28"/>
  </mergeCells>
  <phoneticPr fontId="17"/>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388</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387</v>
      </c>
      <c r="I5" s="371" t="s">
        <v>309</v>
      </c>
      <c r="J5" s="372"/>
      <c r="K5" s="372"/>
      <c r="L5" s="373" t="s">
        <v>308</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364</v>
      </c>
      <c r="C9" s="96" t="s">
        <v>184</v>
      </c>
      <c r="D9" s="96" t="s">
        <v>55</v>
      </c>
      <c r="E9" s="55"/>
      <c r="F9" s="121"/>
      <c r="G9" s="136"/>
      <c r="H9" s="115">
        <v>20</v>
      </c>
      <c r="I9" s="127" t="s">
        <v>363</v>
      </c>
      <c r="J9" s="98" t="s">
        <v>122</v>
      </c>
      <c r="K9" s="141">
        <v>10</v>
      </c>
      <c r="L9" s="136" t="s">
        <v>362</v>
      </c>
      <c r="M9" s="96" t="s">
        <v>60</v>
      </c>
      <c r="N9" s="115">
        <v>10</v>
      </c>
      <c r="O9" s="111" t="s">
        <v>31</v>
      </c>
    </row>
    <row r="10" spans="1:21" ht="20.100000000000001" customHeight="1" x14ac:dyDescent="0.15">
      <c r="A10" s="379"/>
      <c r="B10" s="96"/>
      <c r="C10" s="96" t="s">
        <v>60</v>
      </c>
      <c r="D10" s="96" t="s">
        <v>31</v>
      </c>
      <c r="E10" s="55"/>
      <c r="F10" s="121"/>
      <c r="G10" s="136"/>
      <c r="H10" s="115">
        <v>20</v>
      </c>
      <c r="I10" s="127"/>
      <c r="J10" s="96" t="s">
        <v>60</v>
      </c>
      <c r="K10" s="141">
        <v>20</v>
      </c>
      <c r="L10" s="136"/>
      <c r="M10" s="96" t="s">
        <v>61</v>
      </c>
      <c r="N10" s="115">
        <v>5</v>
      </c>
      <c r="O10" s="111"/>
    </row>
    <row r="11" spans="1:21" ht="20.100000000000001" customHeight="1" x14ac:dyDescent="0.15">
      <c r="A11" s="379"/>
      <c r="B11" s="96"/>
      <c r="C11" s="96" t="s">
        <v>61</v>
      </c>
      <c r="D11" s="96"/>
      <c r="E11" s="55"/>
      <c r="F11" s="121"/>
      <c r="G11" s="136"/>
      <c r="H11" s="115">
        <v>10</v>
      </c>
      <c r="I11" s="127"/>
      <c r="J11" s="96" t="s">
        <v>61</v>
      </c>
      <c r="K11" s="141">
        <v>5</v>
      </c>
      <c r="L11" s="135"/>
      <c r="M11" s="97"/>
      <c r="N11" s="114"/>
      <c r="O11" s="110"/>
    </row>
    <row r="12" spans="1:21" ht="20.100000000000001" customHeight="1" x14ac:dyDescent="0.15">
      <c r="A12" s="379"/>
      <c r="B12" s="96"/>
      <c r="C12" s="96" t="s">
        <v>35</v>
      </c>
      <c r="D12" s="96"/>
      <c r="E12" s="55" t="s">
        <v>36</v>
      </c>
      <c r="F12" s="121"/>
      <c r="G12" s="136"/>
      <c r="H12" s="144">
        <v>0.13</v>
      </c>
      <c r="I12" s="127"/>
      <c r="J12" s="96" t="s">
        <v>296</v>
      </c>
      <c r="K12" s="143">
        <v>0.13</v>
      </c>
      <c r="L12" s="136" t="s">
        <v>361</v>
      </c>
      <c r="M12" s="96" t="s">
        <v>58</v>
      </c>
      <c r="N12" s="116">
        <v>0.1</v>
      </c>
      <c r="O12" s="111" t="s">
        <v>39</v>
      </c>
    </row>
    <row r="13" spans="1:21" ht="20.100000000000001" customHeight="1" x14ac:dyDescent="0.15">
      <c r="A13" s="379"/>
      <c r="B13" s="96"/>
      <c r="C13" s="96"/>
      <c r="D13" s="96"/>
      <c r="E13" s="55"/>
      <c r="F13" s="121"/>
      <c r="G13" s="136" t="s">
        <v>23</v>
      </c>
      <c r="H13" s="115" t="s">
        <v>292</v>
      </c>
      <c r="I13" s="127"/>
      <c r="J13" s="96"/>
      <c r="K13" s="141"/>
      <c r="L13" s="136"/>
      <c r="M13" s="96" t="s">
        <v>124</v>
      </c>
      <c r="N13" s="115">
        <v>10</v>
      </c>
      <c r="O13" s="111"/>
    </row>
    <row r="14" spans="1:21" ht="20.100000000000001" customHeight="1" x14ac:dyDescent="0.15">
      <c r="A14" s="379"/>
      <c r="B14" s="96"/>
      <c r="C14" s="96"/>
      <c r="D14" s="96"/>
      <c r="E14" s="55"/>
      <c r="F14" s="121"/>
      <c r="G14" s="136" t="s">
        <v>24</v>
      </c>
      <c r="H14" s="115" t="s">
        <v>294</v>
      </c>
      <c r="I14" s="127"/>
      <c r="J14" s="96"/>
      <c r="K14" s="141"/>
      <c r="L14" s="135"/>
      <c r="M14" s="97"/>
      <c r="N14" s="114"/>
      <c r="O14" s="110"/>
    </row>
    <row r="15" spans="1:21" ht="20.100000000000001" customHeight="1" x14ac:dyDescent="0.15">
      <c r="A15" s="379"/>
      <c r="B15" s="96"/>
      <c r="C15" s="96"/>
      <c r="D15" s="96"/>
      <c r="E15" s="55"/>
      <c r="F15" s="121" t="s">
        <v>26</v>
      </c>
      <c r="G15" s="136" t="s">
        <v>25</v>
      </c>
      <c r="H15" s="115" t="s">
        <v>294</v>
      </c>
      <c r="I15" s="127"/>
      <c r="J15" s="96"/>
      <c r="K15" s="141"/>
      <c r="L15" s="136" t="s">
        <v>360</v>
      </c>
      <c r="M15" s="96" t="s">
        <v>170</v>
      </c>
      <c r="N15" s="144">
        <v>0.13</v>
      </c>
      <c r="O15" s="111"/>
    </row>
    <row r="16" spans="1:21" ht="20.100000000000001" customHeight="1" x14ac:dyDescent="0.15">
      <c r="A16" s="379"/>
      <c r="B16" s="97"/>
      <c r="C16" s="97"/>
      <c r="D16" s="97"/>
      <c r="E16" s="49"/>
      <c r="F16" s="120"/>
      <c r="G16" s="135"/>
      <c r="H16" s="114"/>
      <c r="I16" s="126"/>
      <c r="J16" s="97"/>
      <c r="K16" s="139"/>
      <c r="L16" s="136"/>
      <c r="M16" s="96"/>
      <c r="N16" s="115"/>
      <c r="O16" s="111"/>
    </row>
    <row r="17" spans="1:15" ht="20.100000000000001" customHeight="1" x14ac:dyDescent="0.15">
      <c r="A17" s="379"/>
      <c r="B17" s="96" t="s">
        <v>332</v>
      </c>
      <c r="C17" s="96" t="s">
        <v>58</v>
      </c>
      <c r="D17" s="96" t="s">
        <v>39</v>
      </c>
      <c r="E17" s="55"/>
      <c r="F17" s="121"/>
      <c r="G17" s="136"/>
      <c r="H17" s="116">
        <v>0.1</v>
      </c>
      <c r="I17" s="127" t="s">
        <v>332</v>
      </c>
      <c r="J17" s="96" t="s">
        <v>58</v>
      </c>
      <c r="K17" s="140">
        <v>0.1</v>
      </c>
      <c r="L17" s="136"/>
      <c r="M17" s="96"/>
      <c r="N17" s="115"/>
      <c r="O17" s="111"/>
    </row>
    <row r="18" spans="1:15" ht="20.100000000000001" customHeight="1" x14ac:dyDescent="0.15">
      <c r="A18" s="379"/>
      <c r="B18" s="96"/>
      <c r="C18" s="96" t="s">
        <v>84</v>
      </c>
      <c r="D18" s="96"/>
      <c r="E18" s="55"/>
      <c r="F18" s="121"/>
      <c r="G18" s="136"/>
      <c r="H18" s="115">
        <v>10</v>
      </c>
      <c r="I18" s="127"/>
      <c r="J18" s="96" t="s">
        <v>84</v>
      </c>
      <c r="K18" s="141">
        <v>5</v>
      </c>
      <c r="L18" s="136"/>
      <c r="M18" s="96"/>
      <c r="N18" s="115"/>
      <c r="O18" s="111"/>
    </row>
    <row r="19" spans="1:15" ht="20.100000000000001" customHeight="1" x14ac:dyDescent="0.15">
      <c r="A19" s="379"/>
      <c r="B19" s="96"/>
      <c r="C19" s="96" t="s">
        <v>41</v>
      </c>
      <c r="D19" s="96" t="s">
        <v>42</v>
      </c>
      <c r="E19" s="55"/>
      <c r="F19" s="122"/>
      <c r="G19" s="136"/>
      <c r="H19" s="115">
        <v>0.5</v>
      </c>
      <c r="I19" s="127"/>
      <c r="J19" s="96" t="s">
        <v>41</v>
      </c>
      <c r="K19" s="141">
        <v>0.5</v>
      </c>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87</v>
      </c>
      <c r="C21" s="96" t="s">
        <v>124</v>
      </c>
      <c r="D21" s="96"/>
      <c r="E21" s="55"/>
      <c r="F21" s="121"/>
      <c r="G21" s="136"/>
      <c r="H21" s="115">
        <v>10</v>
      </c>
      <c r="I21" s="127" t="s">
        <v>87</v>
      </c>
      <c r="J21" s="96" t="s">
        <v>124</v>
      </c>
      <c r="K21" s="141">
        <v>10</v>
      </c>
      <c r="L21" s="136"/>
      <c r="M21" s="96"/>
      <c r="N21" s="115"/>
      <c r="O21" s="111"/>
    </row>
    <row r="22" spans="1:15" ht="20.100000000000001" customHeight="1" x14ac:dyDescent="0.15">
      <c r="A22" s="379"/>
      <c r="B22" s="96"/>
      <c r="C22" s="96"/>
      <c r="D22" s="96"/>
      <c r="E22" s="55"/>
      <c r="F22" s="121"/>
      <c r="G22" s="136" t="s">
        <v>50</v>
      </c>
      <c r="H22" s="115" t="s">
        <v>292</v>
      </c>
      <c r="I22" s="127"/>
      <c r="J22" s="96"/>
      <c r="K22" s="141"/>
      <c r="L22" s="136"/>
      <c r="M22" s="96"/>
      <c r="N22" s="115"/>
      <c r="O22" s="111"/>
    </row>
    <row r="23" spans="1:15" ht="20.100000000000001" customHeight="1" x14ac:dyDescent="0.15">
      <c r="A23" s="379"/>
      <c r="B23" s="97"/>
      <c r="C23" s="97"/>
      <c r="D23" s="97"/>
      <c r="E23" s="49"/>
      <c r="F23" s="120"/>
      <c r="G23" s="135"/>
      <c r="H23" s="114"/>
      <c r="I23" s="126"/>
      <c r="J23" s="97"/>
      <c r="K23" s="139"/>
      <c r="L23" s="136"/>
      <c r="M23" s="96"/>
      <c r="N23" s="115"/>
      <c r="O23" s="111"/>
    </row>
    <row r="24" spans="1:15" ht="20.100000000000001" customHeight="1" x14ac:dyDescent="0.15">
      <c r="A24" s="379"/>
      <c r="B24" s="96" t="s">
        <v>169</v>
      </c>
      <c r="C24" s="96" t="s">
        <v>170</v>
      </c>
      <c r="D24" s="96"/>
      <c r="E24" s="55"/>
      <c r="F24" s="121"/>
      <c r="G24" s="136"/>
      <c r="H24" s="148">
        <v>0.17</v>
      </c>
      <c r="I24" s="127" t="s">
        <v>169</v>
      </c>
      <c r="J24" s="96" t="s">
        <v>170</v>
      </c>
      <c r="K24" s="149">
        <v>0.17</v>
      </c>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261</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t="e">
        <f>ROUNDUP((#REF!*R5)+(#REF!*S5)+(#REF!*(R5*2)),2)</f>
        <v>#REF!</v>
      </c>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213</v>
      </c>
      <c r="C7" s="54" t="s">
        <v>156</v>
      </c>
      <c r="D7" s="55"/>
      <c r="E7" s="56">
        <v>1</v>
      </c>
      <c r="F7" s="57" t="s">
        <v>20</v>
      </c>
      <c r="G7" s="79" t="s">
        <v>157</v>
      </c>
      <c r="H7" s="83" t="s">
        <v>156</v>
      </c>
      <c r="I7" s="55"/>
      <c r="J7" s="57">
        <f>ROUNDUP(E7*0.75,2)</f>
        <v>0.75</v>
      </c>
      <c r="K7" s="57" t="s">
        <v>20</v>
      </c>
      <c r="L7" s="57" t="s">
        <v>157</v>
      </c>
      <c r="M7" s="57"/>
      <c r="N7" s="87">
        <f>M7</f>
        <v>0</v>
      </c>
      <c r="O7" s="75" t="s">
        <v>214</v>
      </c>
      <c r="P7" s="58" t="s">
        <v>37</v>
      </c>
      <c r="Q7" s="55"/>
      <c r="R7" s="59">
        <v>0.5</v>
      </c>
      <c r="S7" s="56">
        <f>ROUNDUP(R7*0.75,2)</f>
        <v>0.38</v>
      </c>
      <c r="T7" s="71" t="e">
        <f>ROUNDUP((#REF!*R7)+(#REF!*S7)+(#REF!*(R7*2)),2)</f>
        <v>#REF!</v>
      </c>
    </row>
    <row r="8" spans="1:21" ht="18.75" customHeight="1" x14ac:dyDescent="0.15">
      <c r="A8" s="359"/>
      <c r="B8" s="75"/>
      <c r="C8" s="54" t="s">
        <v>109</v>
      </c>
      <c r="D8" s="55"/>
      <c r="E8" s="56">
        <v>0.5</v>
      </c>
      <c r="F8" s="57" t="s">
        <v>29</v>
      </c>
      <c r="G8" s="79"/>
      <c r="H8" s="83" t="s">
        <v>109</v>
      </c>
      <c r="I8" s="55"/>
      <c r="J8" s="57">
        <f>ROUNDUP(E8*0.75,2)</f>
        <v>0.38</v>
      </c>
      <c r="K8" s="57" t="s">
        <v>29</v>
      </c>
      <c r="L8" s="57"/>
      <c r="M8" s="57"/>
      <c r="N8" s="87">
        <f>ROUND(M8+(M8*20/100),2)</f>
        <v>0</v>
      </c>
      <c r="O8" s="75" t="s">
        <v>215</v>
      </c>
      <c r="P8" s="58" t="s">
        <v>23</v>
      </c>
      <c r="Q8" s="55"/>
      <c r="R8" s="59">
        <v>30</v>
      </c>
      <c r="S8" s="56">
        <f>ROUNDUP(R8*0.75,2)</f>
        <v>22.5</v>
      </c>
      <c r="T8" s="71" t="e">
        <f>ROUNDUP((#REF!*R8)+(#REF!*S8)+(#REF!*(R8*2)),2)</f>
        <v>#REF!</v>
      </c>
    </row>
    <row r="9" spans="1:21" ht="18.75" customHeight="1" x14ac:dyDescent="0.15">
      <c r="A9" s="359"/>
      <c r="B9" s="75"/>
      <c r="C9" s="54" t="s">
        <v>61</v>
      </c>
      <c r="D9" s="55"/>
      <c r="E9" s="56">
        <v>10</v>
      </c>
      <c r="F9" s="57" t="s">
        <v>29</v>
      </c>
      <c r="G9" s="79"/>
      <c r="H9" s="83" t="s">
        <v>61</v>
      </c>
      <c r="I9" s="55"/>
      <c r="J9" s="57">
        <f>ROUNDUP(E9*0.75,2)</f>
        <v>7.5</v>
      </c>
      <c r="K9" s="57" t="s">
        <v>29</v>
      </c>
      <c r="L9" s="57"/>
      <c r="M9" s="57"/>
      <c r="N9" s="87">
        <f>ROUND(M9+(M9*3/100),2)</f>
        <v>0</v>
      </c>
      <c r="O9" s="75" t="s">
        <v>216</v>
      </c>
      <c r="P9" s="58" t="s">
        <v>25</v>
      </c>
      <c r="Q9" s="55" t="s">
        <v>26</v>
      </c>
      <c r="R9" s="59">
        <v>2</v>
      </c>
      <c r="S9" s="56">
        <f>ROUNDUP(R9*0.75,2)</f>
        <v>1.5</v>
      </c>
      <c r="T9" s="71" t="e">
        <f>ROUNDUP((#REF!*R9)+(#REF!*S9)+(#REF!*(R9*2)),2)</f>
        <v>#REF!</v>
      </c>
    </row>
    <row r="10" spans="1:21" ht="18.75" customHeight="1" x14ac:dyDescent="0.15">
      <c r="A10" s="359"/>
      <c r="B10" s="75"/>
      <c r="C10" s="54" t="s">
        <v>88</v>
      </c>
      <c r="D10" s="55"/>
      <c r="E10" s="56">
        <v>20</v>
      </c>
      <c r="F10" s="57" t="s">
        <v>29</v>
      </c>
      <c r="G10" s="79" t="s">
        <v>31</v>
      </c>
      <c r="H10" s="83" t="s">
        <v>88</v>
      </c>
      <c r="I10" s="55"/>
      <c r="J10" s="57">
        <f>ROUNDUP(E10*0.75,2)</f>
        <v>15</v>
      </c>
      <c r="K10" s="57" t="s">
        <v>29</v>
      </c>
      <c r="L10" s="57" t="s">
        <v>31</v>
      </c>
      <c r="M10" s="57"/>
      <c r="N10" s="87">
        <f>M10</f>
        <v>0</v>
      </c>
      <c r="O10" s="75" t="s">
        <v>19</v>
      </c>
      <c r="P10" s="58" t="s">
        <v>37</v>
      </c>
      <c r="Q10" s="55"/>
      <c r="R10" s="59">
        <v>1.5</v>
      </c>
      <c r="S10" s="56">
        <f>ROUNDUP(R10*0.75,2)</f>
        <v>1.1300000000000001</v>
      </c>
      <c r="T10" s="71" t="e">
        <f>ROUNDUP((#REF!*R10)+(#REF!*S10)+(#REF!*(R10*2)),2)</f>
        <v>#REF!</v>
      </c>
    </row>
    <row r="11" spans="1:21" ht="18.75" customHeight="1" x14ac:dyDescent="0.15">
      <c r="A11" s="359"/>
      <c r="B11" s="75"/>
      <c r="C11" s="54"/>
      <c r="D11" s="55"/>
      <c r="E11" s="56"/>
      <c r="F11" s="57"/>
      <c r="G11" s="79"/>
      <c r="H11" s="83"/>
      <c r="I11" s="55"/>
      <c r="J11" s="57"/>
      <c r="K11" s="57"/>
      <c r="L11" s="57"/>
      <c r="M11" s="57"/>
      <c r="N11" s="87"/>
      <c r="O11" s="75"/>
      <c r="P11" s="58" t="s">
        <v>24</v>
      </c>
      <c r="Q11" s="55"/>
      <c r="R11" s="59">
        <v>3</v>
      </c>
      <c r="S11" s="56">
        <f>ROUNDUP(R11*0.75,2)</f>
        <v>2.25</v>
      </c>
      <c r="T11" s="71" t="e">
        <f>ROUNDUP((#REF!*R11)+(#REF!*S11)+(#REF!*(R11*2)),2)</f>
        <v>#REF!</v>
      </c>
    </row>
    <row r="12" spans="1:21" ht="18.75" customHeight="1" x14ac:dyDescent="0.15">
      <c r="A12" s="359"/>
      <c r="B12" s="74"/>
      <c r="C12" s="48"/>
      <c r="D12" s="49"/>
      <c r="E12" s="50"/>
      <c r="F12" s="51"/>
      <c r="G12" s="78"/>
      <c r="H12" s="82"/>
      <c r="I12" s="49"/>
      <c r="J12" s="51"/>
      <c r="K12" s="51"/>
      <c r="L12" s="51"/>
      <c r="M12" s="51"/>
      <c r="N12" s="86"/>
      <c r="O12" s="74"/>
      <c r="P12" s="52"/>
      <c r="Q12" s="49"/>
      <c r="R12" s="53"/>
      <c r="S12" s="50"/>
      <c r="T12" s="70"/>
    </row>
    <row r="13" spans="1:21" ht="18.75" customHeight="1" x14ac:dyDescent="0.15">
      <c r="A13" s="359"/>
      <c r="B13" s="75" t="s">
        <v>217</v>
      </c>
      <c r="C13" s="54" t="s">
        <v>75</v>
      </c>
      <c r="D13" s="55"/>
      <c r="E13" s="56">
        <v>20</v>
      </c>
      <c r="F13" s="57" t="s">
        <v>29</v>
      </c>
      <c r="G13" s="79" t="s">
        <v>55</v>
      </c>
      <c r="H13" s="83" t="s">
        <v>75</v>
      </c>
      <c r="I13" s="55"/>
      <c r="J13" s="57">
        <f>ROUNDUP(E13*0.75,2)</f>
        <v>15</v>
      </c>
      <c r="K13" s="57" t="s">
        <v>29</v>
      </c>
      <c r="L13" s="57" t="s">
        <v>55</v>
      </c>
      <c r="M13" s="57"/>
      <c r="N13" s="87">
        <f>M13</f>
        <v>0</v>
      </c>
      <c r="O13" s="75" t="s">
        <v>218</v>
      </c>
      <c r="P13" s="58" t="s">
        <v>76</v>
      </c>
      <c r="Q13" s="55" t="s">
        <v>49</v>
      </c>
      <c r="R13" s="59">
        <v>2</v>
      </c>
      <c r="S13" s="56">
        <f>ROUNDUP(R13*0.75,2)</f>
        <v>1.5</v>
      </c>
      <c r="T13" s="71" t="e">
        <f>ROUNDUP((#REF!*R13)+(#REF!*S13)+(#REF!*(R13*2)),2)</f>
        <v>#REF!</v>
      </c>
    </row>
    <row r="14" spans="1:21" ht="18.75" customHeight="1" x14ac:dyDescent="0.15">
      <c r="A14" s="359"/>
      <c r="B14" s="75"/>
      <c r="C14" s="54" t="s">
        <v>28</v>
      </c>
      <c r="D14" s="55"/>
      <c r="E14" s="56">
        <v>20</v>
      </c>
      <c r="F14" s="57" t="s">
        <v>29</v>
      </c>
      <c r="G14" s="79"/>
      <c r="H14" s="83" t="s">
        <v>28</v>
      </c>
      <c r="I14" s="55"/>
      <c r="J14" s="57">
        <f>ROUNDUP(E14*0.75,2)</f>
        <v>15</v>
      </c>
      <c r="K14" s="57" t="s">
        <v>29</v>
      </c>
      <c r="L14" s="57"/>
      <c r="M14" s="57"/>
      <c r="N14" s="87">
        <f>ROUND(M14+(M14*10/100),2)</f>
        <v>0</v>
      </c>
      <c r="O14" s="75" t="s">
        <v>219</v>
      </c>
      <c r="P14" s="58" t="s">
        <v>22</v>
      </c>
      <c r="Q14" s="55"/>
      <c r="R14" s="59">
        <v>1.5</v>
      </c>
      <c r="S14" s="56">
        <f>ROUNDUP(R14*0.75,2)</f>
        <v>1.1300000000000001</v>
      </c>
      <c r="T14" s="71" t="e">
        <f>ROUNDUP((#REF!*R14)+(#REF!*S14)+(#REF!*(R14*2)),2)</f>
        <v>#REF!</v>
      </c>
    </row>
    <row r="15" spans="1:21" ht="18.75" customHeight="1" x14ac:dyDescent="0.15">
      <c r="A15" s="359"/>
      <c r="B15" s="75"/>
      <c r="C15" s="54" t="s">
        <v>136</v>
      </c>
      <c r="D15" s="55"/>
      <c r="E15" s="56">
        <v>5</v>
      </c>
      <c r="F15" s="57" t="s">
        <v>29</v>
      </c>
      <c r="G15" s="79"/>
      <c r="H15" s="83" t="s">
        <v>136</v>
      </c>
      <c r="I15" s="55"/>
      <c r="J15" s="57">
        <f>ROUNDUP(E15*0.75,2)</f>
        <v>3.75</v>
      </c>
      <c r="K15" s="57" t="s">
        <v>29</v>
      </c>
      <c r="L15" s="57"/>
      <c r="M15" s="57"/>
      <c r="N15" s="87">
        <f>ROUND(M15+(M15*15/100),2)</f>
        <v>0</v>
      </c>
      <c r="O15" s="75" t="s">
        <v>220</v>
      </c>
      <c r="P15" s="58" t="s">
        <v>43</v>
      </c>
      <c r="Q15" s="55"/>
      <c r="R15" s="59">
        <v>0.1</v>
      </c>
      <c r="S15" s="56">
        <f>ROUNDUP(R15*0.75,2)</f>
        <v>0.08</v>
      </c>
      <c r="T15" s="71" t="e">
        <f>ROUNDUP((#REF!*R15)+(#REF!*S15)+(#REF!*(R15*2)),2)</f>
        <v>#REF!</v>
      </c>
    </row>
    <row r="16" spans="1:21" ht="18.75" customHeight="1" x14ac:dyDescent="0.15">
      <c r="A16" s="359"/>
      <c r="B16" s="75"/>
      <c r="C16" s="54"/>
      <c r="D16" s="55"/>
      <c r="E16" s="56"/>
      <c r="F16" s="57"/>
      <c r="G16" s="79"/>
      <c r="H16" s="83"/>
      <c r="I16" s="55"/>
      <c r="J16" s="57"/>
      <c r="K16" s="57"/>
      <c r="L16" s="57"/>
      <c r="M16" s="57"/>
      <c r="N16" s="87"/>
      <c r="O16" s="75" t="s">
        <v>19</v>
      </c>
      <c r="P16" s="58" t="s">
        <v>78</v>
      </c>
      <c r="Q16" s="55"/>
      <c r="R16" s="59">
        <v>0.01</v>
      </c>
      <c r="S16" s="56">
        <f>ROUNDUP(R16*0.75,2)</f>
        <v>0.01</v>
      </c>
      <c r="T16" s="71" t="e">
        <f>ROUNDUP((#REF!*R16)+(#REF!*S16)+(#REF!*(R16*2)),2)</f>
        <v>#REF!</v>
      </c>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63</v>
      </c>
      <c r="C18" s="54" t="s">
        <v>144</v>
      </c>
      <c r="D18" s="55"/>
      <c r="E18" s="56">
        <v>20</v>
      </c>
      <c r="F18" s="57" t="s">
        <v>29</v>
      </c>
      <c r="G18" s="79"/>
      <c r="H18" s="83" t="s">
        <v>144</v>
      </c>
      <c r="I18" s="55"/>
      <c r="J18" s="57">
        <f>ROUNDUP(E18*0.75,2)</f>
        <v>15</v>
      </c>
      <c r="K18" s="57" t="s">
        <v>29</v>
      </c>
      <c r="L18" s="57"/>
      <c r="M18" s="57"/>
      <c r="N18" s="87">
        <f>ROUND(M18+(M18*6/100),2)</f>
        <v>0</v>
      </c>
      <c r="O18" s="75" t="s">
        <v>19</v>
      </c>
      <c r="P18" s="58" t="s">
        <v>23</v>
      </c>
      <c r="Q18" s="55"/>
      <c r="R18" s="59">
        <v>100</v>
      </c>
      <c r="S18" s="56">
        <f>ROUNDUP(R18*0.75,2)</f>
        <v>75</v>
      </c>
      <c r="T18" s="71" t="e">
        <f>ROUNDUP((#REF!*R18)+(#REF!*S18)+(#REF!*(R18*2)),2)</f>
        <v>#REF!</v>
      </c>
    </row>
    <row r="19" spans="1:20" ht="18.75" customHeight="1" x14ac:dyDescent="0.15">
      <c r="A19" s="359"/>
      <c r="B19" s="75"/>
      <c r="C19" s="54" t="s">
        <v>110</v>
      </c>
      <c r="D19" s="55"/>
      <c r="E19" s="56">
        <v>3</v>
      </c>
      <c r="F19" s="57" t="s">
        <v>29</v>
      </c>
      <c r="G19" s="79"/>
      <c r="H19" s="83" t="s">
        <v>110</v>
      </c>
      <c r="I19" s="55"/>
      <c r="J19" s="57">
        <f>ROUNDUP(E19*0.75,2)</f>
        <v>2.25</v>
      </c>
      <c r="K19" s="57" t="s">
        <v>29</v>
      </c>
      <c r="L19" s="57"/>
      <c r="M19" s="57"/>
      <c r="N19" s="87">
        <f>ROUND(M19+(M19*40/100),2)</f>
        <v>0</v>
      </c>
      <c r="O19" s="75"/>
      <c r="P19" s="58" t="s">
        <v>66</v>
      </c>
      <c r="Q19" s="55"/>
      <c r="R19" s="59">
        <v>3</v>
      </c>
      <c r="S19" s="56">
        <f>ROUNDUP(R19*0.75,2)</f>
        <v>2.25</v>
      </c>
      <c r="T19" s="71" t="e">
        <f>ROUNDUP((#REF!*R19)+(#REF!*S19)+(#REF!*(R19*2)),2)</f>
        <v>#REF!</v>
      </c>
    </row>
    <row r="20" spans="1:20" ht="18.75" customHeight="1" x14ac:dyDescent="0.15">
      <c r="A20" s="359"/>
      <c r="B20" s="74"/>
      <c r="C20" s="48"/>
      <c r="D20" s="49"/>
      <c r="E20" s="50"/>
      <c r="F20" s="51"/>
      <c r="G20" s="78"/>
      <c r="H20" s="82"/>
      <c r="I20" s="49"/>
      <c r="J20" s="51"/>
      <c r="K20" s="51"/>
      <c r="L20" s="51"/>
      <c r="M20" s="51"/>
      <c r="N20" s="86"/>
      <c r="O20" s="74"/>
      <c r="P20" s="52"/>
      <c r="Q20" s="49"/>
      <c r="R20" s="53"/>
      <c r="S20" s="50"/>
      <c r="T20" s="70"/>
    </row>
    <row r="21" spans="1:20" ht="18.75" customHeight="1" x14ac:dyDescent="0.15">
      <c r="A21" s="359"/>
      <c r="B21" s="75" t="s">
        <v>44</v>
      </c>
      <c r="C21" s="54" t="s">
        <v>48</v>
      </c>
      <c r="D21" s="55" t="s">
        <v>49</v>
      </c>
      <c r="E21" s="56">
        <v>40</v>
      </c>
      <c r="F21" s="57" t="s">
        <v>29</v>
      </c>
      <c r="G21" s="79"/>
      <c r="H21" s="83" t="s">
        <v>48</v>
      </c>
      <c r="I21" s="55" t="s">
        <v>49</v>
      </c>
      <c r="J21" s="57">
        <f>ROUNDUP(E21*0.75,2)</f>
        <v>30</v>
      </c>
      <c r="K21" s="57" t="s">
        <v>29</v>
      </c>
      <c r="L21" s="57"/>
      <c r="M21" s="57"/>
      <c r="N21" s="87">
        <f>M21</f>
        <v>0</v>
      </c>
      <c r="O21" s="75" t="s">
        <v>45</v>
      </c>
      <c r="P21" s="58" t="s">
        <v>24</v>
      </c>
      <c r="Q21" s="55"/>
      <c r="R21" s="59">
        <v>1</v>
      </c>
      <c r="S21" s="56">
        <f>ROUNDUP(R21*0.75,2)</f>
        <v>0.75</v>
      </c>
      <c r="T21" s="71" t="e">
        <f>ROUNDUP((#REF!*R21)+(#REF!*S21)+(#REF!*(R21*2)),2)</f>
        <v>#REF!</v>
      </c>
    </row>
    <row r="22" spans="1:20" ht="18.75" customHeight="1" x14ac:dyDescent="0.15">
      <c r="A22" s="359"/>
      <c r="B22" s="75"/>
      <c r="C22" s="54"/>
      <c r="D22" s="55"/>
      <c r="E22" s="56"/>
      <c r="F22" s="57"/>
      <c r="G22" s="79"/>
      <c r="H22" s="83"/>
      <c r="I22" s="55"/>
      <c r="J22" s="57"/>
      <c r="K22" s="57"/>
      <c r="L22" s="57"/>
      <c r="M22" s="57"/>
      <c r="N22" s="87"/>
      <c r="O22" s="75" t="s">
        <v>46</v>
      </c>
      <c r="P22" s="58" t="s">
        <v>50</v>
      </c>
      <c r="Q22" s="55"/>
      <c r="R22" s="59">
        <v>3</v>
      </c>
      <c r="S22" s="56">
        <f>ROUNDUP(R22*0.75,2)</f>
        <v>2.25</v>
      </c>
      <c r="T22" s="71" t="e">
        <f>ROUNDUP((#REF!*R22)+(#REF!*S22)+(#REF!*(R22*2)),2)</f>
        <v>#REF!</v>
      </c>
    </row>
    <row r="23" spans="1:20" ht="18.75" customHeight="1" x14ac:dyDescent="0.15">
      <c r="A23" s="359"/>
      <c r="B23" s="75"/>
      <c r="C23" s="54"/>
      <c r="D23" s="55"/>
      <c r="E23" s="56"/>
      <c r="F23" s="57"/>
      <c r="G23" s="79"/>
      <c r="H23" s="83"/>
      <c r="I23" s="55"/>
      <c r="J23" s="57"/>
      <c r="K23" s="57"/>
      <c r="L23" s="57"/>
      <c r="M23" s="57"/>
      <c r="N23" s="87"/>
      <c r="O23" s="75" t="s">
        <v>47</v>
      </c>
      <c r="P23" s="58"/>
      <c r="Q23" s="55"/>
      <c r="R23" s="59"/>
      <c r="S23" s="56"/>
      <c r="T23" s="71"/>
    </row>
    <row r="24" spans="1:20" ht="18.75" customHeight="1" x14ac:dyDescent="0.15">
      <c r="A24" s="359"/>
      <c r="B24" s="75"/>
      <c r="C24" s="54"/>
      <c r="D24" s="55"/>
      <c r="E24" s="56"/>
      <c r="F24" s="57"/>
      <c r="G24" s="79"/>
      <c r="H24" s="83"/>
      <c r="I24" s="55"/>
      <c r="J24" s="57"/>
      <c r="K24" s="57"/>
      <c r="L24" s="57"/>
      <c r="M24" s="57"/>
      <c r="N24" s="87"/>
      <c r="O24" s="75" t="s">
        <v>19</v>
      </c>
      <c r="P24" s="58"/>
      <c r="Q24" s="55"/>
      <c r="R24" s="59"/>
      <c r="S24" s="56"/>
      <c r="T24" s="71"/>
    </row>
    <row r="25" spans="1:20" ht="18.75" customHeight="1" thickBot="1" x14ac:dyDescent="0.2">
      <c r="A25" s="360"/>
      <c r="B25" s="76"/>
      <c r="C25" s="61"/>
      <c r="D25" s="62"/>
      <c r="E25" s="63"/>
      <c r="F25" s="64"/>
      <c r="G25" s="80"/>
      <c r="H25" s="84"/>
      <c r="I25" s="62"/>
      <c r="J25" s="64"/>
      <c r="K25" s="64"/>
      <c r="L25" s="64"/>
      <c r="M25" s="64"/>
      <c r="N25" s="88"/>
      <c r="O25" s="76"/>
      <c r="P25" s="65"/>
      <c r="Q25" s="62"/>
      <c r="R25" s="66"/>
      <c r="S25" s="63"/>
      <c r="T25" s="72"/>
    </row>
  </sheetData>
  <mergeCells count="4">
    <mergeCell ref="H1:O1"/>
    <mergeCell ref="A2:T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389</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368</v>
      </c>
      <c r="C9" s="96" t="s">
        <v>156</v>
      </c>
      <c r="D9" s="96" t="s">
        <v>157</v>
      </c>
      <c r="E9" s="55"/>
      <c r="F9" s="121"/>
      <c r="G9" s="136"/>
      <c r="H9" s="147">
        <v>0.7</v>
      </c>
      <c r="I9" s="127" t="s">
        <v>368</v>
      </c>
      <c r="J9" s="96" t="s">
        <v>156</v>
      </c>
      <c r="K9" s="146">
        <v>0.3</v>
      </c>
      <c r="L9" s="136" t="s">
        <v>367</v>
      </c>
      <c r="M9" s="96" t="s">
        <v>156</v>
      </c>
      <c r="N9" s="148">
        <v>0.2</v>
      </c>
      <c r="O9" s="111" t="s">
        <v>157</v>
      </c>
    </row>
    <row r="10" spans="1:21" ht="20.100000000000001" customHeight="1" x14ac:dyDescent="0.15">
      <c r="A10" s="379"/>
      <c r="B10" s="96"/>
      <c r="C10" s="96" t="s">
        <v>88</v>
      </c>
      <c r="D10" s="96" t="s">
        <v>31</v>
      </c>
      <c r="E10" s="55"/>
      <c r="F10" s="121"/>
      <c r="G10" s="136"/>
      <c r="H10" s="115">
        <v>20</v>
      </c>
      <c r="I10" s="127"/>
      <c r="J10" s="96" t="s">
        <v>88</v>
      </c>
      <c r="K10" s="141">
        <v>10</v>
      </c>
      <c r="L10" s="136"/>
      <c r="M10" s="96" t="s">
        <v>88</v>
      </c>
      <c r="N10" s="115">
        <v>10</v>
      </c>
      <c r="O10" s="111" t="s">
        <v>31</v>
      </c>
    </row>
    <row r="11" spans="1:21" ht="20.100000000000001" customHeight="1" x14ac:dyDescent="0.15">
      <c r="A11" s="379"/>
      <c r="B11" s="96"/>
      <c r="C11" s="96" t="s">
        <v>61</v>
      </c>
      <c r="D11" s="96"/>
      <c r="E11" s="55"/>
      <c r="F11" s="121"/>
      <c r="G11" s="136"/>
      <c r="H11" s="115">
        <v>5</v>
      </c>
      <c r="I11" s="127"/>
      <c r="J11" s="96" t="s">
        <v>61</v>
      </c>
      <c r="K11" s="141">
        <v>5</v>
      </c>
      <c r="L11" s="136"/>
      <c r="M11" s="96" t="s">
        <v>61</v>
      </c>
      <c r="N11" s="115">
        <v>5</v>
      </c>
      <c r="O11" s="111"/>
    </row>
    <row r="12" spans="1:21" ht="20.100000000000001" customHeight="1" x14ac:dyDescent="0.15">
      <c r="A12" s="379"/>
      <c r="B12" s="96"/>
      <c r="C12" s="96"/>
      <c r="D12" s="96"/>
      <c r="E12" s="55"/>
      <c r="F12" s="121"/>
      <c r="G12" s="136" t="s">
        <v>23</v>
      </c>
      <c r="H12" s="115" t="s">
        <v>292</v>
      </c>
      <c r="I12" s="127"/>
      <c r="J12" s="96"/>
      <c r="K12" s="141"/>
      <c r="L12" s="135"/>
      <c r="M12" s="97"/>
      <c r="N12" s="114"/>
      <c r="O12" s="110"/>
    </row>
    <row r="13" spans="1:21" ht="20.100000000000001" customHeight="1" x14ac:dyDescent="0.15">
      <c r="A13" s="379"/>
      <c r="B13" s="96"/>
      <c r="C13" s="96"/>
      <c r="D13" s="96"/>
      <c r="E13" s="55"/>
      <c r="F13" s="121" t="s">
        <v>26</v>
      </c>
      <c r="G13" s="136" t="s">
        <v>25</v>
      </c>
      <c r="H13" s="115" t="s">
        <v>294</v>
      </c>
      <c r="I13" s="127"/>
      <c r="J13" s="96"/>
      <c r="K13" s="141"/>
      <c r="L13" s="136" t="s">
        <v>366</v>
      </c>
      <c r="M13" s="96" t="s">
        <v>28</v>
      </c>
      <c r="N13" s="115">
        <v>10</v>
      </c>
      <c r="O13" s="111"/>
    </row>
    <row r="14" spans="1:21" ht="20.100000000000001" customHeight="1" x14ac:dyDescent="0.15">
      <c r="A14" s="379"/>
      <c r="B14" s="97"/>
      <c r="C14" s="97"/>
      <c r="D14" s="97"/>
      <c r="E14" s="49"/>
      <c r="F14" s="120"/>
      <c r="G14" s="135"/>
      <c r="H14" s="114"/>
      <c r="I14" s="126"/>
      <c r="J14" s="97"/>
      <c r="K14" s="139"/>
      <c r="L14" s="136"/>
      <c r="M14" s="96" t="s">
        <v>144</v>
      </c>
      <c r="N14" s="115">
        <v>10</v>
      </c>
      <c r="O14" s="111"/>
    </row>
    <row r="15" spans="1:21" ht="20.100000000000001" customHeight="1" x14ac:dyDescent="0.15">
      <c r="A15" s="379"/>
      <c r="B15" s="96" t="s">
        <v>365</v>
      </c>
      <c r="C15" s="96" t="s">
        <v>75</v>
      </c>
      <c r="D15" s="96" t="s">
        <v>55</v>
      </c>
      <c r="E15" s="55"/>
      <c r="F15" s="121"/>
      <c r="G15" s="136"/>
      <c r="H15" s="115">
        <v>10</v>
      </c>
      <c r="I15" s="127" t="s">
        <v>365</v>
      </c>
      <c r="J15" s="98" t="s">
        <v>167</v>
      </c>
      <c r="K15" s="141">
        <v>5</v>
      </c>
      <c r="L15" s="135"/>
      <c r="M15" s="97"/>
      <c r="N15" s="114"/>
      <c r="O15" s="110"/>
    </row>
    <row r="16" spans="1:21" ht="20.100000000000001" customHeight="1" x14ac:dyDescent="0.15">
      <c r="A16" s="379"/>
      <c r="B16" s="96"/>
      <c r="C16" s="96" t="s">
        <v>28</v>
      </c>
      <c r="D16" s="96"/>
      <c r="E16" s="55"/>
      <c r="F16" s="121"/>
      <c r="G16" s="136"/>
      <c r="H16" s="115">
        <v>10</v>
      </c>
      <c r="I16" s="127"/>
      <c r="J16" s="96" t="s">
        <v>28</v>
      </c>
      <c r="K16" s="141">
        <v>10</v>
      </c>
      <c r="L16" s="136" t="s">
        <v>44</v>
      </c>
      <c r="M16" s="96" t="s">
        <v>48</v>
      </c>
      <c r="N16" s="115">
        <v>10</v>
      </c>
      <c r="O16" s="111"/>
    </row>
    <row r="17" spans="1:15" ht="20.100000000000001" customHeight="1" x14ac:dyDescent="0.15">
      <c r="A17" s="379"/>
      <c r="B17" s="96"/>
      <c r="C17" s="96" t="s">
        <v>136</v>
      </c>
      <c r="D17" s="96"/>
      <c r="E17" s="55"/>
      <c r="F17" s="121"/>
      <c r="G17" s="136"/>
      <c r="H17" s="115">
        <v>5</v>
      </c>
      <c r="I17" s="127"/>
      <c r="J17" s="96" t="s">
        <v>136</v>
      </c>
      <c r="K17" s="141">
        <v>5</v>
      </c>
      <c r="L17" s="136"/>
      <c r="M17" s="96"/>
      <c r="N17" s="115"/>
      <c r="O17" s="111"/>
    </row>
    <row r="18" spans="1:15" ht="20.100000000000001" customHeight="1" x14ac:dyDescent="0.15">
      <c r="A18" s="379"/>
      <c r="B18" s="96"/>
      <c r="C18" s="96"/>
      <c r="D18" s="96"/>
      <c r="E18" s="55"/>
      <c r="F18" s="121"/>
      <c r="G18" s="136" t="s">
        <v>23</v>
      </c>
      <c r="H18" s="115" t="s">
        <v>292</v>
      </c>
      <c r="I18" s="127"/>
      <c r="J18" s="96"/>
      <c r="K18" s="141"/>
      <c r="L18" s="136"/>
      <c r="M18" s="96"/>
      <c r="N18" s="115"/>
      <c r="O18" s="111"/>
    </row>
    <row r="19" spans="1:15" ht="20.100000000000001" customHeight="1" x14ac:dyDescent="0.15">
      <c r="A19" s="379"/>
      <c r="B19" s="96"/>
      <c r="C19" s="96"/>
      <c r="D19" s="96"/>
      <c r="E19" s="55"/>
      <c r="F19" s="122"/>
      <c r="G19" s="136" t="s">
        <v>24</v>
      </c>
      <c r="H19" s="115" t="s">
        <v>294</v>
      </c>
      <c r="I19" s="127"/>
      <c r="J19" s="96"/>
      <c r="K19" s="141"/>
      <c r="L19" s="136"/>
      <c r="M19" s="96"/>
      <c r="N19" s="115"/>
      <c r="O19" s="111"/>
    </row>
    <row r="20" spans="1:15" ht="20.100000000000001" customHeight="1" x14ac:dyDescent="0.15">
      <c r="A20" s="379"/>
      <c r="B20" s="96"/>
      <c r="C20" s="96"/>
      <c r="D20" s="96"/>
      <c r="E20" s="55"/>
      <c r="F20" s="121" t="s">
        <v>26</v>
      </c>
      <c r="G20" s="136" t="s">
        <v>25</v>
      </c>
      <c r="H20" s="115" t="s">
        <v>294</v>
      </c>
      <c r="I20" s="127"/>
      <c r="J20" s="96"/>
      <c r="K20" s="141"/>
      <c r="L20" s="136"/>
      <c r="M20" s="96"/>
      <c r="N20" s="115"/>
      <c r="O20" s="111"/>
    </row>
    <row r="21" spans="1:15" ht="20.100000000000001" customHeight="1" x14ac:dyDescent="0.15">
      <c r="A21" s="379"/>
      <c r="B21" s="97"/>
      <c r="C21" s="97"/>
      <c r="D21" s="97"/>
      <c r="E21" s="49"/>
      <c r="F21" s="120"/>
      <c r="G21" s="135"/>
      <c r="H21" s="114"/>
      <c r="I21" s="126"/>
      <c r="J21" s="97"/>
      <c r="K21" s="139"/>
      <c r="L21" s="136"/>
      <c r="M21" s="96"/>
      <c r="N21" s="115"/>
      <c r="O21" s="111"/>
    </row>
    <row r="22" spans="1:15" ht="20.100000000000001" customHeight="1" x14ac:dyDescent="0.15">
      <c r="A22" s="379"/>
      <c r="B22" s="96" t="s">
        <v>63</v>
      </c>
      <c r="C22" s="96" t="s">
        <v>144</v>
      </c>
      <c r="D22" s="96"/>
      <c r="E22" s="55"/>
      <c r="F22" s="121"/>
      <c r="G22" s="136"/>
      <c r="H22" s="115">
        <v>10</v>
      </c>
      <c r="I22" s="127" t="s">
        <v>63</v>
      </c>
      <c r="J22" s="96" t="s">
        <v>144</v>
      </c>
      <c r="K22" s="141">
        <v>10</v>
      </c>
      <c r="L22" s="136"/>
      <c r="M22" s="96"/>
      <c r="N22" s="115"/>
      <c r="O22" s="111"/>
    </row>
    <row r="23" spans="1:15" ht="20.100000000000001" customHeight="1" x14ac:dyDescent="0.15">
      <c r="A23" s="379"/>
      <c r="B23" s="96"/>
      <c r="C23" s="96"/>
      <c r="D23" s="96"/>
      <c r="E23" s="55"/>
      <c r="F23" s="121"/>
      <c r="G23" s="136" t="s">
        <v>23</v>
      </c>
      <c r="H23" s="115" t="s">
        <v>292</v>
      </c>
      <c r="I23" s="127"/>
      <c r="J23" s="96"/>
      <c r="K23" s="141"/>
      <c r="L23" s="136"/>
      <c r="M23" s="96"/>
      <c r="N23" s="115"/>
      <c r="O23" s="111"/>
    </row>
    <row r="24" spans="1:15" ht="20.100000000000001" customHeight="1" x14ac:dyDescent="0.15">
      <c r="A24" s="379"/>
      <c r="B24" s="96"/>
      <c r="C24" s="96"/>
      <c r="D24" s="96"/>
      <c r="E24" s="55"/>
      <c r="F24" s="121"/>
      <c r="G24" s="136" t="s">
        <v>66</v>
      </c>
      <c r="H24" s="115" t="s">
        <v>294</v>
      </c>
      <c r="I24" s="127"/>
      <c r="J24" s="96"/>
      <c r="K24" s="141"/>
      <c r="L24" s="136"/>
      <c r="M24" s="96"/>
      <c r="N24" s="115"/>
      <c r="O24" s="111"/>
    </row>
    <row r="25" spans="1:15" ht="20.100000000000001" customHeight="1" x14ac:dyDescent="0.15">
      <c r="A25" s="379"/>
      <c r="B25" s="97"/>
      <c r="C25" s="97"/>
      <c r="D25" s="97"/>
      <c r="E25" s="49"/>
      <c r="F25" s="120"/>
      <c r="G25" s="135"/>
      <c r="H25" s="114"/>
      <c r="I25" s="126"/>
      <c r="J25" s="97"/>
      <c r="K25" s="139"/>
      <c r="L25" s="136"/>
      <c r="M25" s="96"/>
      <c r="N25" s="115"/>
      <c r="O25" s="111"/>
    </row>
    <row r="26" spans="1:15" ht="20.100000000000001" customHeight="1" x14ac:dyDescent="0.15">
      <c r="A26" s="379"/>
      <c r="B26" s="96" t="s">
        <v>44</v>
      </c>
      <c r="C26" s="96" t="s">
        <v>48</v>
      </c>
      <c r="D26" s="96"/>
      <c r="E26" s="55" t="s">
        <v>49</v>
      </c>
      <c r="F26" s="121"/>
      <c r="G26" s="136"/>
      <c r="H26" s="115">
        <v>30</v>
      </c>
      <c r="I26" s="127" t="s">
        <v>44</v>
      </c>
      <c r="J26" s="96" t="s">
        <v>48</v>
      </c>
      <c r="K26" s="141">
        <v>30</v>
      </c>
      <c r="L26" s="136"/>
      <c r="M26" s="96"/>
      <c r="N26" s="115"/>
      <c r="O26" s="111"/>
    </row>
    <row r="27" spans="1:15" ht="20.100000000000001" customHeight="1" x14ac:dyDescent="0.15">
      <c r="A27" s="379"/>
      <c r="B27" s="96"/>
      <c r="C27" s="96"/>
      <c r="D27" s="96"/>
      <c r="E27" s="55"/>
      <c r="F27" s="121"/>
      <c r="G27" s="136" t="s">
        <v>24</v>
      </c>
      <c r="H27" s="115" t="s">
        <v>294</v>
      </c>
      <c r="I27" s="127"/>
      <c r="J27" s="96"/>
      <c r="K27" s="141"/>
      <c r="L27" s="136"/>
      <c r="M27" s="96"/>
      <c r="N27" s="115"/>
      <c r="O27" s="111"/>
    </row>
    <row r="28" spans="1:15" ht="20.100000000000001" customHeight="1" thickBot="1" x14ac:dyDescent="0.2">
      <c r="A28" s="380"/>
      <c r="B28" s="95"/>
      <c r="C28" s="95"/>
      <c r="D28" s="95"/>
      <c r="E28" s="62"/>
      <c r="F28" s="123"/>
      <c r="G28" s="137"/>
      <c r="H28" s="117"/>
      <c r="I28" s="128"/>
      <c r="J28" s="95"/>
      <c r="K28" s="142"/>
      <c r="L28" s="137"/>
      <c r="M28" s="95"/>
      <c r="N28" s="117"/>
      <c r="O28" s="112"/>
    </row>
    <row r="29" spans="1:15" ht="20.100000000000001" customHeight="1" x14ac:dyDescent="0.15">
      <c r="B29" s="94"/>
      <c r="C29" s="94"/>
      <c r="D29" s="94"/>
      <c r="G29" s="94"/>
      <c r="H29" s="93"/>
      <c r="I29" s="94"/>
      <c r="J29" s="94"/>
      <c r="K29" s="93"/>
      <c r="L29" s="94"/>
      <c r="M29" s="94"/>
      <c r="N29" s="93"/>
    </row>
    <row r="30" spans="1:15" ht="20.100000000000001" customHeight="1"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3">
    <mergeCell ref="A7:A28"/>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279</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262</v>
      </c>
      <c r="C5" s="42" t="s">
        <v>108</v>
      </c>
      <c r="D5" s="43"/>
      <c r="E5" s="44">
        <v>20</v>
      </c>
      <c r="F5" s="45" t="s">
        <v>29</v>
      </c>
      <c r="G5" s="77" t="s">
        <v>55</v>
      </c>
      <c r="H5" s="81" t="s">
        <v>108</v>
      </c>
      <c r="I5" s="43"/>
      <c r="J5" s="45">
        <f t="shared" ref="J5:J11" si="0">ROUNDUP(E5*0.75,2)</f>
        <v>15</v>
      </c>
      <c r="K5" s="45" t="s">
        <v>29</v>
      </c>
      <c r="L5" s="45" t="s">
        <v>55</v>
      </c>
      <c r="M5" s="45"/>
      <c r="N5" s="85">
        <f>M5</f>
        <v>0</v>
      </c>
      <c r="O5" s="73" t="s">
        <v>263</v>
      </c>
      <c r="P5" s="46" t="s">
        <v>18</v>
      </c>
      <c r="Q5" s="43"/>
      <c r="R5" s="47">
        <v>110</v>
      </c>
      <c r="S5" s="44">
        <f t="shared" ref="S5:S10" si="1">ROUNDUP(R5*0.75,2)</f>
        <v>82.5</v>
      </c>
      <c r="T5" s="69" t="e">
        <f>ROUNDUP((#REF!*R5)+(#REF!*S5)+(#REF!*(R5*2)),2)</f>
        <v>#REF!</v>
      </c>
    </row>
    <row r="6" spans="1:21" ht="18.75" customHeight="1" x14ac:dyDescent="0.15">
      <c r="A6" s="359"/>
      <c r="B6" s="75"/>
      <c r="C6" s="54" t="s">
        <v>33</v>
      </c>
      <c r="D6" s="55"/>
      <c r="E6" s="56">
        <v>30</v>
      </c>
      <c r="F6" s="57" t="s">
        <v>29</v>
      </c>
      <c r="G6" s="79"/>
      <c r="H6" s="83" t="s">
        <v>33</v>
      </c>
      <c r="I6" s="55"/>
      <c r="J6" s="57">
        <f t="shared" si="0"/>
        <v>22.5</v>
      </c>
      <c r="K6" s="57" t="s">
        <v>29</v>
      </c>
      <c r="L6" s="57"/>
      <c r="M6" s="57"/>
      <c r="N6" s="87">
        <f>ROUND(M6+(M6*6/100),2)</f>
        <v>0</v>
      </c>
      <c r="O6" s="75" t="s">
        <v>289</v>
      </c>
      <c r="P6" s="58" t="s">
        <v>37</v>
      </c>
      <c r="Q6" s="55"/>
      <c r="R6" s="59">
        <v>0.5</v>
      </c>
      <c r="S6" s="56">
        <f t="shared" si="1"/>
        <v>0.38</v>
      </c>
      <c r="T6" s="71" t="e">
        <f>ROUNDUP((#REF!*R6)+(#REF!*S6)+(#REF!*(R6*2)),2)</f>
        <v>#REF!</v>
      </c>
    </row>
    <row r="7" spans="1:21" ht="18.75" customHeight="1" x14ac:dyDescent="0.15">
      <c r="A7" s="359"/>
      <c r="B7" s="75"/>
      <c r="C7" s="54" t="s">
        <v>98</v>
      </c>
      <c r="D7" s="55"/>
      <c r="E7" s="56">
        <v>40</v>
      </c>
      <c r="F7" s="57" t="s">
        <v>29</v>
      </c>
      <c r="G7" s="79"/>
      <c r="H7" s="83" t="s">
        <v>98</v>
      </c>
      <c r="I7" s="55"/>
      <c r="J7" s="57">
        <f t="shared" si="0"/>
        <v>30</v>
      </c>
      <c r="K7" s="57" t="s">
        <v>29</v>
      </c>
      <c r="L7" s="57"/>
      <c r="M7" s="57"/>
      <c r="N7" s="87">
        <f>ROUND(M7+(M7*10/100),2)</f>
        <v>0</v>
      </c>
      <c r="O7" s="75" t="s">
        <v>280</v>
      </c>
      <c r="P7" s="58" t="s">
        <v>22</v>
      </c>
      <c r="Q7" s="55"/>
      <c r="R7" s="59">
        <v>1</v>
      </c>
      <c r="S7" s="56">
        <f t="shared" si="1"/>
        <v>0.75</v>
      </c>
      <c r="T7" s="71" t="e">
        <f>ROUNDUP((#REF!*R7)+(#REF!*S7)+(#REF!*(R7*2)),2)</f>
        <v>#REF!</v>
      </c>
    </row>
    <row r="8" spans="1:21" ht="18.75" customHeight="1" x14ac:dyDescent="0.15">
      <c r="A8" s="359"/>
      <c r="B8" s="75"/>
      <c r="C8" s="54" t="s">
        <v>61</v>
      </c>
      <c r="D8" s="55"/>
      <c r="E8" s="56">
        <v>10</v>
      </c>
      <c r="F8" s="57" t="s">
        <v>29</v>
      </c>
      <c r="G8" s="79"/>
      <c r="H8" s="83" t="s">
        <v>61</v>
      </c>
      <c r="I8" s="55"/>
      <c r="J8" s="57">
        <f t="shared" si="0"/>
        <v>7.5</v>
      </c>
      <c r="K8" s="57" t="s">
        <v>29</v>
      </c>
      <c r="L8" s="57"/>
      <c r="M8" s="57"/>
      <c r="N8" s="87">
        <f>ROUND(M8+(M8*3/100),2)</f>
        <v>0</v>
      </c>
      <c r="O8" s="75" t="s">
        <v>272</v>
      </c>
      <c r="P8" s="58" t="s">
        <v>50</v>
      </c>
      <c r="Q8" s="55"/>
      <c r="R8" s="59">
        <v>40</v>
      </c>
      <c r="S8" s="56">
        <f t="shared" si="1"/>
        <v>30</v>
      </c>
      <c r="T8" s="71" t="e">
        <f>ROUNDUP((#REF!*R8)+(#REF!*S8)+(#REF!*(R8*2)),2)</f>
        <v>#REF!</v>
      </c>
    </row>
    <row r="9" spans="1:21" ht="18.75" customHeight="1" x14ac:dyDescent="0.15">
      <c r="A9" s="359"/>
      <c r="B9" s="75"/>
      <c r="C9" s="54" t="s">
        <v>225</v>
      </c>
      <c r="D9" s="55" t="s">
        <v>26</v>
      </c>
      <c r="E9" s="56">
        <v>9</v>
      </c>
      <c r="F9" s="57" t="s">
        <v>29</v>
      </c>
      <c r="G9" s="79"/>
      <c r="H9" s="83" t="s">
        <v>225</v>
      </c>
      <c r="I9" s="55" t="s">
        <v>26</v>
      </c>
      <c r="J9" s="57">
        <f t="shared" si="0"/>
        <v>6.75</v>
      </c>
      <c r="K9" s="57" t="s">
        <v>29</v>
      </c>
      <c r="L9" s="57"/>
      <c r="M9" s="57"/>
      <c r="N9" s="87">
        <f>M9</f>
        <v>0</v>
      </c>
      <c r="O9" s="75" t="s">
        <v>264</v>
      </c>
      <c r="P9" s="58" t="s">
        <v>24</v>
      </c>
      <c r="Q9" s="55"/>
      <c r="R9" s="59">
        <v>0.5</v>
      </c>
      <c r="S9" s="56">
        <f t="shared" si="1"/>
        <v>0.38</v>
      </c>
      <c r="T9" s="71" t="e">
        <f>ROUNDUP((#REF!*R9)+(#REF!*S9)+(#REF!*(R9*2)),2)</f>
        <v>#REF!</v>
      </c>
    </row>
    <row r="10" spans="1:21" ht="18.75" customHeight="1" x14ac:dyDescent="0.15">
      <c r="A10" s="359"/>
      <c r="B10" s="75"/>
      <c r="C10" s="54" t="s">
        <v>52</v>
      </c>
      <c r="D10" s="55" t="s">
        <v>49</v>
      </c>
      <c r="E10" s="56">
        <v>30</v>
      </c>
      <c r="F10" s="57" t="s">
        <v>53</v>
      </c>
      <c r="G10" s="79" t="s">
        <v>39</v>
      </c>
      <c r="H10" s="83" t="s">
        <v>52</v>
      </c>
      <c r="I10" s="55" t="s">
        <v>49</v>
      </c>
      <c r="J10" s="57">
        <f t="shared" si="0"/>
        <v>22.5</v>
      </c>
      <c r="K10" s="57" t="s">
        <v>53</v>
      </c>
      <c r="L10" s="57" t="s">
        <v>39</v>
      </c>
      <c r="M10" s="57"/>
      <c r="N10" s="87">
        <f>M10</f>
        <v>0</v>
      </c>
      <c r="O10" s="75" t="s">
        <v>281</v>
      </c>
      <c r="P10" s="58" t="s">
        <v>77</v>
      </c>
      <c r="Q10" s="55"/>
      <c r="R10" s="59">
        <v>2</v>
      </c>
      <c r="S10" s="56">
        <f t="shared" si="1"/>
        <v>1.5</v>
      </c>
      <c r="T10" s="71" t="e">
        <f>ROUNDUP((#REF!*R10)+(#REF!*S10)+(#REF!*(R10*2)),2)</f>
        <v>#REF!</v>
      </c>
    </row>
    <row r="11" spans="1:21" ht="18.75" customHeight="1" x14ac:dyDescent="0.15">
      <c r="A11" s="359"/>
      <c r="B11" s="75"/>
      <c r="C11" s="54" t="s">
        <v>35</v>
      </c>
      <c r="D11" s="55" t="s">
        <v>36</v>
      </c>
      <c r="E11" s="60">
        <v>0.5</v>
      </c>
      <c r="F11" s="57" t="s">
        <v>32</v>
      </c>
      <c r="G11" s="79"/>
      <c r="H11" s="83" t="s">
        <v>35</v>
      </c>
      <c r="I11" s="55" t="s">
        <v>36</v>
      </c>
      <c r="J11" s="57">
        <f t="shared" si="0"/>
        <v>0.38</v>
      </c>
      <c r="K11" s="57" t="s">
        <v>32</v>
      </c>
      <c r="L11" s="57"/>
      <c r="M11" s="57"/>
      <c r="N11" s="87">
        <f>M11</f>
        <v>0</v>
      </c>
      <c r="O11" s="75" t="s">
        <v>275</v>
      </c>
      <c r="P11" s="58"/>
      <c r="Q11" s="55"/>
      <c r="R11" s="59"/>
      <c r="S11" s="56"/>
      <c r="T11" s="71"/>
    </row>
    <row r="12" spans="1:21" ht="18.75" customHeight="1" x14ac:dyDescent="0.15">
      <c r="A12" s="359"/>
      <c r="B12" s="74"/>
      <c r="C12" s="48"/>
      <c r="D12" s="49"/>
      <c r="E12" s="50"/>
      <c r="F12" s="51"/>
      <c r="G12" s="78"/>
      <c r="H12" s="82"/>
      <c r="I12" s="49"/>
      <c r="J12" s="51"/>
      <c r="K12" s="51"/>
      <c r="L12" s="51"/>
      <c r="M12" s="51"/>
      <c r="N12" s="86"/>
      <c r="O12" s="74" t="s">
        <v>19</v>
      </c>
      <c r="P12" s="52"/>
      <c r="Q12" s="49"/>
      <c r="R12" s="53"/>
      <c r="S12" s="50"/>
      <c r="T12" s="70"/>
    </row>
    <row r="13" spans="1:21" ht="18.75" customHeight="1" x14ac:dyDescent="0.15">
      <c r="A13" s="359"/>
      <c r="B13" s="75" t="s">
        <v>226</v>
      </c>
      <c r="C13" s="54" t="s">
        <v>83</v>
      </c>
      <c r="D13" s="55"/>
      <c r="E13" s="56">
        <v>30</v>
      </c>
      <c r="F13" s="57" t="s">
        <v>29</v>
      </c>
      <c r="G13" s="79"/>
      <c r="H13" s="83" t="s">
        <v>83</v>
      </c>
      <c r="I13" s="55"/>
      <c r="J13" s="57">
        <f>ROUNDUP(E13*0.75,2)</f>
        <v>22.5</v>
      </c>
      <c r="K13" s="57" t="s">
        <v>29</v>
      </c>
      <c r="L13" s="57"/>
      <c r="M13" s="57"/>
      <c r="N13" s="87">
        <f>ROUND(M13+(M13*15/100),2)</f>
        <v>0</v>
      </c>
      <c r="O13" s="75" t="s">
        <v>227</v>
      </c>
      <c r="P13" s="58" t="s">
        <v>24</v>
      </c>
      <c r="Q13" s="55"/>
      <c r="R13" s="59">
        <v>1</v>
      </c>
      <c r="S13" s="56">
        <f>ROUNDUP(R13*0.75,2)</f>
        <v>0.75</v>
      </c>
      <c r="T13" s="71" t="e">
        <f>ROUNDUP((#REF!*R13)+(#REF!*S13)+(#REF!*(R13*2)),2)</f>
        <v>#REF!</v>
      </c>
    </row>
    <row r="14" spans="1:21" ht="18.75" customHeight="1" x14ac:dyDescent="0.15">
      <c r="A14" s="359"/>
      <c r="B14" s="75"/>
      <c r="C14" s="54" t="s">
        <v>175</v>
      </c>
      <c r="D14" s="55"/>
      <c r="E14" s="56">
        <v>10</v>
      </c>
      <c r="F14" s="57" t="s">
        <v>29</v>
      </c>
      <c r="G14" s="79" t="s">
        <v>176</v>
      </c>
      <c r="H14" s="83" t="s">
        <v>175</v>
      </c>
      <c r="I14" s="55"/>
      <c r="J14" s="57">
        <f>ROUNDUP(E14*0.75,2)</f>
        <v>7.5</v>
      </c>
      <c r="K14" s="57" t="s">
        <v>29</v>
      </c>
      <c r="L14" s="57" t="s">
        <v>176</v>
      </c>
      <c r="M14" s="57"/>
      <c r="N14" s="87">
        <f>M14</f>
        <v>0</v>
      </c>
      <c r="O14" s="75" t="s">
        <v>228</v>
      </c>
      <c r="P14" s="58" t="s">
        <v>25</v>
      </c>
      <c r="Q14" s="55" t="s">
        <v>26</v>
      </c>
      <c r="R14" s="59">
        <v>0.5</v>
      </c>
      <c r="S14" s="56">
        <f>ROUNDUP(R14*0.75,2)</f>
        <v>0.38</v>
      </c>
      <c r="T14" s="71" t="e">
        <f>ROUNDUP((#REF!*R14)+(#REF!*S14)+(#REF!*(R14*2)),2)</f>
        <v>#REF!</v>
      </c>
    </row>
    <row r="15" spans="1:21" ht="18.75" customHeight="1" x14ac:dyDescent="0.15">
      <c r="A15" s="359"/>
      <c r="B15" s="75"/>
      <c r="C15" s="54" t="s">
        <v>168</v>
      </c>
      <c r="D15" s="55"/>
      <c r="E15" s="91">
        <v>0.125</v>
      </c>
      <c r="F15" s="57" t="s">
        <v>56</v>
      </c>
      <c r="G15" s="79" t="s">
        <v>55</v>
      </c>
      <c r="H15" s="83" t="s">
        <v>168</v>
      </c>
      <c r="I15" s="55"/>
      <c r="J15" s="57">
        <f>ROUNDUP(E15*0.75,2)</f>
        <v>9.9999999999999992E-2</v>
      </c>
      <c r="K15" s="57" t="s">
        <v>56</v>
      </c>
      <c r="L15" s="57" t="s">
        <v>55</v>
      </c>
      <c r="M15" s="57"/>
      <c r="N15" s="87">
        <f>M15</f>
        <v>0</v>
      </c>
      <c r="O15" s="75" t="s">
        <v>54</v>
      </c>
      <c r="P15" s="58" t="s">
        <v>57</v>
      </c>
      <c r="Q15" s="55"/>
      <c r="R15" s="59">
        <v>2</v>
      </c>
      <c r="S15" s="56">
        <f>ROUNDUP(R15*0.75,2)</f>
        <v>1.5</v>
      </c>
      <c r="T15" s="71" t="e">
        <f>ROUNDUP((#REF!*R15)+(#REF!*S15)+(#REF!*(R15*2)),2)</f>
        <v>#REF!</v>
      </c>
    </row>
    <row r="16" spans="1:21" ht="18.75" customHeight="1" x14ac:dyDescent="0.15">
      <c r="A16" s="359"/>
      <c r="B16" s="75"/>
      <c r="C16" s="54"/>
      <c r="D16" s="55"/>
      <c r="E16" s="56"/>
      <c r="F16" s="57"/>
      <c r="G16" s="79"/>
      <c r="H16" s="83"/>
      <c r="I16" s="55"/>
      <c r="J16" s="57"/>
      <c r="K16" s="57"/>
      <c r="L16" s="57"/>
      <c r="M16" s="57"/>
      <c r="N16" s="87"/>
      <c r="O16" s="75"/>
      <c r="P16" s="58" t="s">
        <v>22</v>
      </c>
      <c r="Q16" s="55"/>
      <c r="R16" s="59">
        <v>2</v>
      </c>
      <c r="S16" s="56">
        <f>ROUNDUP(R16*0.75,2)</f>
        <v>1.5</v>
      </c>
      <c r="T16" s="71" t="e">
        <f>ROUNDUP((#REF!*R16)+(#REF!*S16)+(#REF!*(R16*2)),2)</f>
        <v>#REF!</v>
      </c>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142</v>
      </c>
      <c r="C18" s="54" t="s">
        <v>143</v>
      </c>
      <c r="D18" s="55"/>
      <c r="E18" s="91">
        <v>0.125</v>
      </c>
      <c r="F18" s="57" t="s">
        <v>32</v>
      </c>
      <c r="G18" s="79"/>
      <c r="H18" s="83" t="s">
        <v>143</v>
      </c>
      <c r="I18" s="55"/>
      <c r="J18" s="57">
        <f>ROUNDUP(E18*0.75,2)</f>
        <v>9.9999999999999992E-2</v>
      </c>
      <c r="K18" s="57" t="s">
        <v>32</v>
      </c>
      <c r="L18" s="57"/>
      <c r="M18" s="57"/>
      <c r="N18" s="87">
        <f>M18</f>
        <v>0</v>
      </c>
      <c r="O18" s="75" t="s">
        <v>92</v>
      </c>
      <c r="P18" s="58"/>
      <c r="Q18" s="55"/>
      <c r="R18" s="59"/>
      <c r="S18" s="56"/>
      <c r="T18" s="71"/>
    </row>
    <row r="19" spans="1:20" ht="18.75" customHeight="1" thickBot="1" x14ac:dyDescent="0.2">
      <c r="A19" s="360"/>
      <c r="B19" s="76"/>
      <c r="C19" s="61"/>
      <c r="D19" s="62"/>
      <c r="E19" s="63"/>
      <c r="F19" s="64"/>
      <c r="G19" s="80"/>
      <c r="H19" s="84"/>
      <c r="I19" s="62"/>
      <c r="J19" s="64"/>
      <c r="K19" s="64"/>
      <c r="L19" s="64"/>
      <c r="M19" s="64"/>
      <c r="N19" s="88"/>
      <c r="O19" s="76"/>
      <c r="P19" s="65"/>
      <c r="Q19" s="62"/>
      <c r="R19" s="66"/>
      <c r="S19" s="63"/>
      <c r="T19" s="72"/>
    </row>
  </sheetData>
  <mergeCells count="4">
    <mergeCell ref="H1:O1"/>
    <mergeCell ref="A2:T2"/>
    <mergeCell ref="A3:F3"/>
    <mergeCell ref="A5:A1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279</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375</v>
      </c>
      <c r="C9" s="96" t="s">
        <v>108</v>
      </c>
      <c r="D9" s="96" t="s">
        <v>55</v>
      </c>
      <c r="E9" s="55"/>
      <c r="F9" s="121"/>
      <c r="G9" s="136"/>
      <c r="H9" s="115">
        <v>15</v>
      </c>
      <c r="I9" s="127" t="s">
        <v>374</v>
      </c>
      <c r="J9" s="98" t="s">
        <v>167</v>
      </c>
      <c r="K9" s="141">
        <v>10</v>
      </c>
      <c r="L9" s="136" t="s">
        <v>373</v>
      </c>
      <c r="M9" s="96" t="s">
        <v>33</v>
      </c>
      <c r="N9" s="115">
        <v>5</v>
      </c>
      <c r="O9" s="111"/>
    </row>
    <row r="10" spans="1:21" ht="20.100000000000001" customHeight="1" x14ac:dyDescent="0.15">
      <c r="A10" s="379"/>
      <c r="B10" s="96"/>
      <c r="C10" s="96" t="s">
        <v>33</v>
      </c>
      <c r="D10" s="96"/>
      <c r="E10" s="55"/>
      <c r="F10" s="121"/>
      <c r="G10" s="136"/>
      <c r="H10" s="115">
        <v>10</v>
      </c>
      <c r="I10" s="127"/>
      <c r="J10" s="96" t="s">
        <v>33</v>
      </c>
      <c r="K10" s="141">
        <v>10</v>
      </c>
      <c r="L10" s="136"/>
      <c r="M10" s="96" t="s">
        <v>61</v>
      </c>
      <c r="N10" s="115">
        <v>5</v>
      </c>
      <c r="O10" s="111"/>
    </row>
    <row r="11" spans="1:21" ht="20.100000000000001" customHeight="1" x14ac:dyDescent="0.15">
      <c r="A11" s="379"/>
      <c r="B11" s="96"/>
      <c r="C11" s="96" t="s">
        <v>98</v>
      </c>
      <c r="D11" s="96"/>
      <c r="E11" s="55"/>
      <c r="F11" s="121"/>
      <c r="G11" s="136"/>
      <c r="H11" s="115">
        <v>20</v>
      </c>
      <c r="I11" s="127"/>
      <c r="J11" s="96" t="s">
        <v>98</v>
      </c>
      <c r="K11" s="141">
        <v>10</v>
      </c>
      <c r="L11" s="136"/>
      <c r="M11" s="96" t="s">
        <v>98</v>
      </c>
      <c r="N11" s="115">
        <v>10</v>
      </c>
      <c r="O11" s="111"/>
    </row>
    <row r="12" spans="1:21" ht="20.100000000000001" customHeight="1" x14ac:dyDescent="0.15">
      <c r="A12" s="379"/>
      <c r="B12" s="96"/>
      <c r="C12" s="96" t="s">
        <v>61</v>
      </c>
      <c r="D12" s="96"/>
      <c r="E12" s="55"/>
      <c r="F12" s="121"/>
      <c r="G12" s="136"/>
      <c r="H12" s="115">
        <v>10</v>
      </c>
      <c r="I12" s="127"/>
      <c r="J12" s="96" t="s">
        <v>61</v>
      </c>
      <c r="K12" s="141">
        <v>5</v>
      </c>
      <c r="L12" s="135"/>
      <c r="M12" s="97"/>
      <c r="N12" s="114"/>
      <c r="O12" s="110"/>
    </row>
    <row r="13" spans="1:21" ht="20.100000000000001" customHeight="1" x14ac:dyDescent="0.15">
      <c r="A13" s="379"/>
      <c r="B13" s="96"/>
      <c r="C13" s="96" t="s">
        <v>52</v>
      </c>
      <c r="D13" s="96" t="s">
        <v>39</v>
      </c>
      <c r="E13" s="55" t="s">
        <v>49</v>
      </c>
      <c r="F13" s="121"/>
      <c r="G13" s="136"/>
      <c r="H13" s="115">
        <v>20</v>
      </c>
      <c r="I13" s="127"/>
      <c r="J13" s="96" t="s">
        <v>52</v>
      </c>
      <c r="K13" s="141">
        <v>15</v>
      </c>
      <c r="L13" s="136" t="s">
        <v>372</v>
      </c>
      <c r="M13" s="96" t="s">
        <v>83</v>
      </c>
      <c r="N13" s="115">
        <v>5</v>
      </c>
      <c r="O13" s="111"/>
    </row>
    <row r="14" spans="1:21" ht="20.100000000000001" customHeight="1" x14ac:dyDescent="0.15">
      <c r="A14" s="379"/>
      <c r="B14" s="96"/>
      <c r="C14" s="96"/>
      <c r="D14" s="96"/>
      <c r="E14" s="55"/>
      <c r="F14" s="121"/>
      <c r="G14" s="136" t="s">
        <v>50</v>
      </c>
      <c r="H14" s="115" t="s">
        <v>292</v>
      </c>
      <c r="I14" s="127"/>
      <c r="J14" s="96"/>
      <c r="K14" s="141"/>
      <c r="L14" s="136"/>
      <c r="M14" s="96" t="s">
        <v>175</v>
      </c>
      <c r="N14" s="115">
        <v>5</v>
      </c>
      <c r="O14" s="111" t="s">
        <v>176</v>
      </c>
    </row>
    <row r="15" spans="1:21" ht="20.100000000000001" customHeight="1" x14ac:dyDescent="0.15">
      <c r="A15" s="379"/>
      <c r="B15" s="96"/>
      <c r="C15" s="96"/>
      <c r="D15" s="96"/>
      <c r="E15" s="55"/>
      <c r="F15" s="121"/>
      <c r="G15" s="136" t="s">
        <v>43</v>
      </c>
      <c r="H15" s="115" t="s">
        <v>294</v>
      </c>
      <c r="I15" s="127"/>
      <c r="J15" s="96"/>
      <c r="K15" s="141"/>
      <c r="L15" s="135"/>
      <c r="M15" s="97"/>
      <c r="N15" s="114"/>
      <c r="O15" s="110"/>
    </row>
    <row r="16" spans="1:21" ht="20.100000000000001" customHeight="1" x14ac:dyDescent="0.15">
      <c r="A16" s="379"/>
      <c r="B16" s="97"/>
      <c r="C16" s="97"/>
      <c r="D16" s="97"/>
      <c r="E16" s="49"/>
      <c r="F16" s="120"/>
      <c r="G16" s="135"/>
      <c r="H16" s="114"/>
      <c r="I16" s="126"/>
      <c r="J16" s="97"/>
      <c r="K16" s="139"/>
      <c r="L16" s="136" t="s">
        <v>327</v>
      </c>
      <c r="M16" s="96" t="s">
        <v>143</v>
      </c>
      <c r="N16" s="118">
        <v>0.08</v>
      </c>
      <c r="O16" s="111"/>
    </row>
    <row r="17" spans="1:15" ht="20.100000000000001" customHeight="1" x14ac:dyDescent="0.15">
      <c r="A17" s="379"/>
      <c r="B17" s="96" t="s">
        <v>371</v>
      </c>
      <c r="C17" s="96" t="s">
        <v>83</v>
      </c>
      <c r="D17" s="96"/>
      <c r="E17" s="55"/>
      <c r="F17" s="121"/>
      <c r="G17" s="136"/>
      <c r="H17" s="115">
        <v>10</v>
      </c>
      <c r="I17" s="127" t="s">
        <v>371</v>
      </c>
      <c r="J17" s="96" t="s">
        <v>83</v>
      </c>
      <c r="K17" s="141">
        <v>10</v>
      </c>
      <c r="L17" s="136"/>
      <c r="M17" s="96"/>
      <c r="N17" s="115"/>
      <c r="O17" s="111"/>
    </row>
    <row r="18" spans="1:15" ht="20.100000000000001" customHeight="1" x14ac:dyDescent="0.15">
      <c r="A18" s="379"/>
      <c r="B18" s="96"/>
      <c r="C18" s="96" t="s">
        <v>175</v>
      </c>
      <c r="D18" s="96" t="s">
        <v>176</v>
      </c>
      <c r="E18" s="55"/>
      <c r="F18" s="121"/>
      <c r="G18" s="136"/>
      <c r="H18" s="115">
        <v>5</v>
      </c>
      <c r="I18" s="127"/>
      <c r="J18" s="96" t="s">
        <v>175</v>
      </c>
      <c r="K18" s="141">
        <v>5</v>
      </c>
      <c r="L18" s="136"/>
      <c r="M18" s="96"/>
      <c r="N18" s="115"/>
      <c r="O18" s="111"/>
    </row>
    <row r="19" spans="1:15" ht="20.100000000000001" customHeight="1" x14ac:dyDescent="0.15">
      <c r="A19" s="379"/>
      <c r="B19" s="96"/>
      <c r="C19" s="96" t="s">
        <v>35</v>
      </c>
      <c r="D19" s="96"/>
      <c r="E19" s="55" t="s">
        <v>36</v>
      </c>
      <c r="F19" s="122"/>
      <c r="G19" s="136"/>
      <c r="H19" s="144">
        <v>0.13</v>
      </c>
      <c r="I19" s="127"/>
      <c r="J19" s="96" t="s">
        <v>296</v>
      </c>
      <c r="K19" s="143">
        <v>0.13</v>
      </c>
      <c r="L19" s="136"/>
      <c r="M19" s="96"/>
      <c r="N19" s="115"/>
      <c r="O19" s="111"/>
    </row>
    <row r="20" spans="1:15" ht="20.100000000000001" customHeight="1" x14ac:dyDescent="0.15">
      <c r="A20" s="379"/>
      <c r="B20" s="97"/>
      <c r="C20" s="97"/>
      <c r="D20" s="97"/>
      <c r="E20" s="49"/>
      <c r="F20" s="120"/>
      <c r="G20" s="135"/>
      <c r="H20" s="114"/>
      <c r="I20" s="126"/>
      <c r="J20" s="97"/>
      <c r="K20" s="139"/>
      <c r="L20" s="136"/>
      <c r="M20" s="96"/>
      <c r="N20" s="115"/>
      <c r="O20" s="111"/>
    </row>
    <row r="21" spans="1:15" ht="20.100000000000001" customHeight="1" x14ac:dyDescent="0.15">
      <c r="A21" s="379"/>
      <c r="B21" s="96" t="s">
        <v>142</v>
      </c>
      <c r="C21" s="96" t="s">
        <v>143</v>
      </c>
      <c r="D21" s="96"/>
      <c r="E21" s="55"/>
      <c r="F21" s="121"/>
      <c r="G21" s="136"/>
      <c r="H21" s="116">
        <v>0.1</v>
      </c>
      <c r="I21" s="127" t="s">
        <v>142</v>
      </c>
      <c r="J21" s="96" t="s">
        <v>143</v>
      </c>
      <c r="K21" s="140">
        <v>0.1</v>
      </c>
      <c r="L21" s="136"/>
      <c r="M21" s="96"/>
      <c r="N21" s="115"/>
      <c r="O21" s="111"/>
    </row>
    <row r="22" spans="1:15" ht="20.100000000000001" customHeight="1" thickBot="1" x14ac:dyDescent="0.2">
      <c r="A22" s="380"/>
      <c r="B22" s="95"/>
      <c r="C22" s="95"/>
      <c r="D22" s="95"/>
      <c r="E22" s="62"/>
      <c r="F22" s="123"/>
      <c r="G22" s="137"/>
      <c r="H22" s="117"/>
      <c r="I22" s="128"/>
      <c r="J22" s="95"/>
      <c r="K22" s="142"/>
      <c r="L22" s="137"/>
      <c r="M22" s="95"/>
      <c r="N22" s="117"/>
      <c r="O22" s="112"/>
    </row>
    <row r="23" spans="1:15" ht="20.100000000000001" customHeight="1" x14ac:dyDescent="0.15">
      <c r="B23" s="94"/>
      <c r="C23" s="94"/>
      <c r="D23" s="94"/>
      <c r="G23" s="94"/>
      <c r="H23" s="93"/>
      <c r="I23" s="94"/>
      <c r="J23" s="94"/>
      <c r="K23" s="93"/>
      <c r="L23" s="94"/>
      <c r="M23" s="94"/>
      <c r="N23" s="93"/>
    </row>
    <row r="24" spans="1:15" ht="20.100000000000001" customHeight="1" x14ac:dyDescent="0.15">
      <c r="B24" s="94"/>
      <c r="C24" s="94"/>
      <c r="D24" s="94"/>
      <c r="G24" s="94"/>
      <c r="H24" s="93"/>
      <c r="I24" s="94"/>
      <c r="J24" s="94"/>
      <c r="K24" s="93"/>
      <c r="L24" s="94"/>
      <c r="M24" s="94"/>
      <c r="N24" s="93"/>
    </row>
    <row r="25" spans="1:15" ht="20.100000000000001" customHeight="1" x14ac:dyDescent="0.15">
      <c r="B25" s="94"/>
      <c r="C25" s="94"/>
      <c r="D25" s="94"/>
      <c r="G25" s="94"/>
      <c r="H25" s="93"/>
      <c r="I25" s="94"/>
      <c r="J25" s="94"/>
      <c r="K25" s="93"/>
      <c r="L25" s="94"/>
      <c r="M25" s="94"/>
      <c r="N25" s="93"/>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20.100000000000001" customHeight="1" x14ac:dyDescent="0.15">
      <c r="B28" s="94"/>
      <c r="C28" s="94"/>
      <c r="D28" s="94"/>
      <c r="G28" s="94"/>
      <c r="H28" s="93"/>
      <c r="I28" s="94"/>
      <c r="J28" s="94"/>
      <c r="K28" s="93"/>
      <c r="L28" s="94"/>
      <c r="M28" s="94"/>
      <c r="N28" s="93"/>
    </row>
    <row r="29" spans="1:15" ht="20.100000000000001" customHeight="1" x14ac:dyDescent="0.15">
      <c r="B29" s="94"/>
      <c r="C29" s="94"/>
      <c r="D29" s="94"/>
      <c r="G29" s="94"/>
      <c r="H29" s="93"/>
      <c r="I29" s="94"/>
      <c r="J29" s="94"/>
      <c r="K29" s="93"/>
      <c r="L29" s="94"/>
      <c r="M29" s="94"/>
      <c r="N29" s="93"/>
    </row>
    <row r="30" spans="1:15" ht="20.100000000000001" customHeight="1"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2"/>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265</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68</v>
      </c>
      <c r="C5" s="42" t="s">
        <v>75</v>
      </c>
      <c r="D5" s="43"/>
      <c r="E5" s="44">
        <v>10</v>
      </c>
      <c r="F5" s="45" t="s">
        <v>29</v>
      </c>
      <c r="G5" s="77" t="s">
        <v>55</v>
      </c>
      <c r="H5" s="81" t="s">
        <v>75</v>
      </c>
      <c r="I5" s="43"/>
      <c r="J5" s="45">
        <f>ROUNDUP(E5*0.75,2)</f>
        <v>7.5</v>
      </c>
      <c r="K5" s="45" t="s">
        <v>29</v>
      </c>
      <c r="L5" s="45" t="s">
        <v>55</v>
      </c>
      <c r="M5" s="45"/>
      <c r="N5" s="85">
        <f>M5</f>
        <v>0</v>
      </c>
      <c r="O5" s="73" t="s">
        <v>69</v>
      </c>
      <c r="P5" s="46" t="s">
        <v>18</v>
      </c>
      <c r="Q5" s="43"/>
      <c r="R5" s="47">
        <v>110</v>
      </c>
      <c r="S5" s="44">
        <f t="shared" ref="S5:S12" si="0">ROUNDUP(R5*0.75,2)</f>
        <v>82.5</v>
      </c>
      <c r="T5" s="69" t="e">
        <f>ROUNDUP((#REF!*R5)+(#REF!*S5)+(#REF!*(R5*2)),2)</f>
        <v>#REF!</v>
      </c>
    </row>
    <row r="6" spans="1:21" ht="18.75" customHeight="1" x14ac:dyDescent="0.15">
      <c r="A6" s="359"/>
      <c r="B6" s="75"/>
      <c r="C6" s="54" t="s">
        <v>33</v>
      </c>
      <c r="D6" s="55"/>
      <c r="E6" s="56">
        <v>20</v>
      </c>
      <c r="F6" s="57" t="s">
        <v>29</v>
      </c>
      <c r="G6" s="79"/>
      <c r="H6" s="83" t="s">
        <v>33</v>
      </c>
      <c r="I6" s="55"/>
      <c r="J6" s="57">
        <f>ROUNDUP(E6*0.75,2)</f>
        <v>15</v>
      </c>
      <c r="K6" s="57" t="s">
        <v>29</v>
      </c>
      <c r="L6" s="57"/>
      <c r="M6" s="57"/>
      <c r="N6" s="87">
        <f>ROUND(M6+(M6*6/100),2)</f>
        <v>0</v>
      </c>
      <c r="O6" s="75" t="s">
        <v>70</v>
      </c>
      <c r="P6" s="58" t="s">
        <v>76</v>
      </c>
      <c r="Q6" s="55" t="s">
        <v>49</v>
      </c>
      <c r="R6" s="59">
        <v>1</v>
      </c>
      <c r="S6" s="56">
        <f t="shared" si="0"/>
        <v>0.75</v>
      </c>
      <c r="T6" s="71" t="e">
        <f>ROUNDUP((#REF!*R6)+(#REF!*S6)+(#REF!*(R6*2)),2)</f>
        <v>#REF!</v>
      </c>
    </row>
    <row r="7" spans="1:21" ht="18.75" customHeight="1" x14ac:dyDescent="0.15">
      <c r="A7" s="359"/>
      <c r="B7" s="75"/>
      <c r="C7" s="54" t="s">
        <v>35</v>
      </c>
      <c r="D7" s="55" t="s">
        <v>36</v>
      </c>
      <c r="E7" s="56">
        <v>1</v>
      </c>
      <c r="F7" s="57" t="s">
        <v>32</v>
      </c>
      <c r="G7" s="79"/>
      <c r="H7" s="83" t="s">
        <v>35</v>
      </c>
      <c r="I7" s="55" t="s">
        <v>36</v>
      </c>
      <c r="J7" s="57">
        <f>ROUNDUP(E7*0.75,2)</f>
        <v>0.75</v>
      </c>
      <c r="K7" s="57" t="s">
        <v>32</v>
      </c>
      <c r="L7" s="57"/>
      <c r="M7" s="57"/>
      <c r="N7" s="87">
        <f>M7</f>
        <v>0</v>
      </c>
      <c r="O7" s="75" t="s">
        <v>71</v>
      </c>
      <c r="P7" s="58" t="s">
        <v>43</v>
      </c>
      <c r="Q7" s="55"/>
      <c r="R7" s="59">
        <v>0.1</v>
      </c>
      <c r="S7" s="56">
        <f t="shared" si="0"/>
        <v>0.08</v>
      </c>
      <c r="T7" s="71" t="e">
        <f>ROUNDUP((#REF!*R7)+(#REF!*S7)+(#REF!*(R7*2)),2)</f>
        <v>#REF!</v>
      </c>
    </row>
    <row r="8" spans="1:21" ht="18.75" customHeight="1" x14ac:dyDescent="0.15">
      <c r="A8" s="359"/>
      <c r="B8" s="75"/>
      <c r="C8" s="54" t="s">
        <v>79</v>
      </c>
      <c r="D8" s="55"/>
      <c r="E8" s="56">
        <v>5</v>
      </c>
      <c r="F8" s="57" t="s">
        <v>29</v>
      </c>
      <c r="G8" s="79" t="s">
        <v>31</v>
      </c>
      <c r="H8" s="83" t="s">
        <v>79</v>
      </c>
      <c r="I8" s="55"/>
      <c r="J8" s="57">
        <f>ROUNDUP(E8*0.75,2)</f>
        <v>3.75</v>
      </c>
      <c r="K8" s="57" t="s">
        <v>29</v>
      </c>
      <c r="L8" s="57" t="s">
        <v>31</v>
      </c>
      <c r="M8" s="57"/>
      <c r="N8" s="87">
        <f>M8</f>
        <v>0</v>
      </c>
      <c r="O8" s="75" t="s">
        <v>72</v>
      </c>
      <c r="P8" s="58" t="s">
        <v>77</v>
      </c>
      <c r="Q8" s="55"/>
      <c r="R8" s="59">
        <v>8</v>
      </c>
      <c r="S8" s="56">
        <f t="shared" si="0"/>
        <v>6</v>
      </c>
      <c r="T8" s="71" t="e">
        <f>ROUNDUP((#REF!*R8)+(#REF!*S8)+(#REF!*(R8*2)),2)</f>
        <v>#REF!</v>
      </c>
    </row>
    <row r="9" spans="1:21" ht="18.75" customHeight="1" x14ac:dyDescent="0.15">
      <c r="A9" s="359"/>
      <c r="B9" s="75"/>
      <c r="C9" s="54"/>
      <c r="D9" s="55"/>
      <c r="E9" s="56"/>
      <c r="F9" s="57"/>
      <c r="G9" s="79"/>
      <c r="H9" s="83"/>
      <c r="I9" s="55"/>
      <c r="J9" s="57"/>
      <c r="K9" s="57"/>
      <c r="L9" s="57"/>
      <c r="M9" s="57"/>
      <c r="N9" s="87"/>
      <c r="O9" s="75" t="s">
        <v>73</v>
      </c>
      <c r="P9" s="58" t="s">
        <v>43</v>
      </c>
      <c r="Q9" s="55"/>
      <c r="R9" s="59">
        <v>0.1</v>
      </c>
      <c r="S9" s="56">
        <f t="shared" si="0"/>
        <v>0.08</v>
      </c>
      <c r="T9" s="71" t="e">
        <f>ROUNDUP((#REF!*R9)+(#REF!*S9)+(#REF!*(R9*2)),2)</f>
        <v>#REF!</v>
      </c>
    </row>
    <row r="10" spans="1:21" ht="18.75" customHeight="1" x14ac:dyDescent="0.15">
      <c r="A10" s="359"/>
      <c r="B10" s="75"/>
      <c r="C10" s="54"/>
      <c r="D10" s="55"/>
      <c r="E10" s="56"/>
      <c r="F10" s="57"/>
      <c r="G10" s="79"/>
      <c r="H10" s="83"/>
      <c r="I10" s="55"/>
      <c r="J10" s="57"/>
      <c r="K10" s="57"/>
      <c r="L10" s="57"/>
      <c r="M10" s="57"/>
      <c r="N10" s="87"/>
      <c r="O10" s="75" t="s">
        <v>74</v>
      </c>
      <c r="P10" s="58" t="s">
        <v>78</v>
      </c>
      <c r="Q10" s="55"/>
      <c r="R10" s="59">
        <v>0.01</v>
      </c>
      <c r="S10" s="56">
        <f t="shared" si="0"/>
        <v>0.01</v>
      </c>
      <c r="T10" s="71" t="e">
        <f>ROUNDUP((#REF!*R10)+(#REF!*S10)+(#REF!*(R10*2)),2)</f>
        <v>#REF!</v>
      </c>
    </row>
    <row r="11" spans="1:21" ht="18.75" customHeight="1" x14ac:dyDescent="0.15">
      <c r="A11" s="359"/>
      <c r="B11" s="75"/>
      <c r="C11" s="54"/>
      <c r="D11" s="55"/>
      <c r="E11" s="56"/>
      <c r="F11" s="57"/>
      <c r="G11" s="79"/>
      <c r="H11" s="83"/>
      <c r="I11" s="55"/>
      <c r="J11" s="57"/>
      <c r="K11" s="57"/>
      <c r="L11" s="57"/>
      <c r="M11" s="57"/>
      <c r="N11" s="87"/>
      <c r="O11" s="75" t="s">
        <v>19</v>
      </c>
      <c r="P11" s="58" t="s">
        <v>22</v>
      </c>
      <c r="Q11" s="55"/>
      <c r="R11" s="59">
        <v>1</v>
      </c>
      <c r="S11" s="56">
        <f t="shared" si="0"/>
        <v>0.75</v>
      </c>
      <c r="T11" s="71" t="e">
        <f>ROUNDUP((#REF!*R11)+(#REF!*S11)+(#REF!*(R11*2)),2)</f>
        <v>#REF!</v>
      </c>
    </row>
    <row r="12" spans="1:21" ht="18.75" customHeight="1" x14ac:dyDescent="0.15">
      <c r="A12" s="359"/>
      <c r="B12" s="75"/>
      <c r="C12" s="54"/>
      <c r="D12" s="55"/>
      <c r="E12" s="56"/>
      <c r="F12" s="57"/>
      <c r="G12" s="79"/>
      <c r="H12" s="83"/>
      <c r="I12" s="55"/>
      <c r="J12" s="57"/>
      <c r="K12" s="57"/>
      <c r="L12" s="57"/>
      <c r="M12" s="57"/>
      <c r="N12" s="87"/>
      <c r="O12" s="75"/>
      <c r="P12" s="58" t="s">
        <v>77</v>
      </c>
      <c r="Q12" s="55"/>
      <c r="R12" s="59">
        <v>3</v>
      </c>
      <c r="S12" s="56">
        <f t="shared" si="0"/>
        <v>2.25</v>
      </c>
      <c r="T12" s="71" t="e">
        <f>ROUNDUP((#REF!*R12)+(#REF!*S12)+(#REF!*(R12*2)),2)</f>
        <v>#REF!</v>
      </c>
    </row>
    <row r="13" spans="1:21" ht="18.75" customHeight="1" x14ac:dyDescent="0.15">
      <c r="A13" s="359"/>
      <c r="B13" s="74"/>
      <c r="C13" s="48"/>
      <c r="D13" s="49"/>
      <c r="E13" s="50"/>
      <c r="F13" s="51"/>
      <c r="G13" s="78"/>
      <c r="H13" s="82"/>
      <c r="I13" s="49"/>
      <c r="J13" s="51"/>
      <c r="K13" s="51"/>
      <c r="L13" s="51"/>
      <c r="M13" s="51"/>
      <c r="N13" s="86"/>
      <c r="O13" s="74"/>
      <c r="P13" s="52"/>
      <c r="Q13" s="49"/>
      <c r="R13" s="53"/>
      <c r="S13" s="50"/>
      <c r="T13" s="70"/>
    </row>
    <row r="14" spans="1:21" ht="18.75" customHeight="1" x14ac:dyDescent="0.15">
      <c r="A14" s="359"/>
      <c r="B14" s="75" t="s">
        <v>80</v>
      </c>
      <c r="C14" s="54" t="s">
        <v>83</v>
      </c>
      <c r="D14" s="55"/>
      <c r="E14" s="56">
        <v>30</v>
      </c>
      <c r="F14" s="57" t="s">
        <v>29</v>
      </c>
      <c r="G14" s="79"/>
      <c r="H14" s="83" t="s">
        <v>83</v>
      </c>
      <c r="I14" s="55"/>
      <c r="J14" s="57">
        <f>ROUNDUP(E14*0.75,2)</f>
        <v>22.5</v>
      </c>
      <c r="K14" s="57" t="s">
        <v>29</v>
      </c>
      <c r="L14" s="57"/>
      <c r="M14" s="57"/>
      <c r="N14" s="87">
        <f>ROUND(M14+(M14*15/100),2)</f>
        <v>0</v>
      </c>
      <c r="O14" s="75" t="s">
        <v>81</v>
      </c>
      <c r="P14" s="58" t="s">
        <v>24</v>
      </c>
      <c r="Q14" s="55"/>
      <c r="R14" s="59">
        <v>1</v>
      </c>
      <c r="S14" s="56">
        <f>ROUNDUP(R14*0.75,2)</f>
        <v>0.75</v>
      </c>
      <c r="T14" s="71" t="e">
        <f>ROUNDUP((#REF!*R14)+(#REF!*S14)+(#REF!*(R14*2)),2)</f>
        <v>#REF!</v>
      </c>
    </row>
    <row r="15" spans="1:21" ht="18.75" customHeight="1" x14ac:dyDescent="0.15">
      <c r="A15" s="359"/>
      <c r="B15" s="75"/>
      <c r="C15" s="54" t="s">
        <v>84</v>
      </c>
      <c r="D15" s="55"/>
      <c r="E15" s="56">
        <v>10</v>
      </c>
      <c r="F15" s="57" t="s">
        <v>29</v>
      </c>
      <c r="G15" s="79"/>
      <c r="H15" s="83" t="s">
        <v>84</v>
      </c>
      <c r="I15" s="55"/>
      <c r="J15" s="57">
        <f>ROUNDUP(E15*0.75,2)</f>
        <v>7.5</v>
      </c>
      <c r="K15" s="57" t="s">
        <v>29</v>
      </c>
      <c r="L15" s="57"/>
      <c r="M15" s="57"/>
      <c r="N15" s="87">
        <f>ROUND(M15+(M15*2/100),2)</f>
        <v>0</v>
      </c>
      <c r="O15" s="75" t="s">
        <v>82</v>
      </c>
      <c r="P15" s="58" t="s">
        <v>43</v>
      </c>
      <c r="Q15" s="55"/>
      <c r="R15" s="59">
        <v>0.1</v>
      </c>
      <c r="S15" s="56">
        <f>ROUNDUP(R15*0.75,2)</f>
        <v>0.08</v>
      </c>
      <c r="T15" s="71" t="e">
        <f>ROUNDUP((#REF!*R15)+(#REF!*S15)+(#REF!*(R15*2)),2)</f>
        <v>#REF!</v>
      </c>
    </row>
    <row r="16" spans="1:21" ht="18.75" customHeight="1" x14ac:dyDescent="0.15">
      <c r="A16" s="359"/>
      <c r="B16" s="75"/>
      <c r="C16" s="54" t="s">
        <v>85</v>
      </c>
      <c r="D16" s="55"/>
      <c r="E16" s="56">
        <v>10</v>
      </c>
      <c r="F16" s="57" t="s">
        <v>29</v>
      </c>
      <c r="G16" s="79" t="s">
        <v>86</v>
      </c>
      <c r="H16" s="83" t="s">
        <v>85</v>
      </c>
      <c r="I16" s="55"/>
      <c r="J16" s="57">
        <f>ROUNDUP(E16*0.75,2)</f>
        <v>7.5</v>
      </c>
      <c r="K16" s="57" t="s">
        <v>29</v>
      </c>
      <c r="L16" s="57" t="s">
        <v>86</v>
      </c>
      <c r="M16" s="57"/>
      <c r="N16" s="87">
        <f>M16</f>
        <v>0</v>
      </c>
      <c r="O16" s="75" t="s">
        <v>19</v>
      </c>
      <c r="P16" s="58" t="s">
        <v>57</v>
      </c>
      <c r="Q16" s="55"/>
      <c r="R16" s="59">
        <v>2</v>
      </c>
      <c r="S16" s="56">
        <f>ROUNDUP(R16*0.75,2)</f>
        <v>1.5</v>
      </c>
      <c r="T16" s="71" t="e">
        <f>ROUNDUP((#REF!*R16)+(#REF!*S16)+(#REF!*(R16*2)),2)</f>
        <v>#REF!</v>
      </c>
    </row>
    <row r="17" spans="1:20" ht="18.75" customHeight="1" x14ac:dyDescent="0.15">
      <c r="A17" s="359"/>
      <c r="B17" s="75"/>
      <c r="C17" s="54"/>
      <c r="D17" s="55"/>
      <c r="E17" s="56"/>
      <c r="F17" s="57"/>
      <c r="G17" s="79"/>
      <c r="H17" s="83"/>
      <c r="I17" s="55"/>
      <c r="J17" s="57"/>
      <c r="K17" s="57"/>
      <c r="L17" s="57"/>
      <c r="M17" s="57"/>
      <c r="N17" s="87"/>
      <c r="O17" s="75"/>
      <c r="P17" s="58" t="s">
        <v>22</v>
      </c>
      <c r="Q17" s="55"/>
      <c r="R17" s="59">
        <v>2</v>
      </c>
      <c r="S17" s="56">
        <f>ROUNDUP(R17*0.75,2)</f>
        <v>1.5</v>
      </c>
      <c r="T17" s="71" t="e">
        <f>ROUNDUP((#REF!*R17)+(#REF!*S17)+(#REF!*(R17*2)),2)</f>
        <v>#REF!</v>
      </c>
    </row>
    <row r="18" spans="1:20" ht="18.75" customHeight="1" x14ac:dyDescent="0.15">
      <c r="A18" s="359"/>
      <c r="B18" s="74"/>
      <c r="C18" s="48"/>
      <c r="D18" s="49"/>
      <c r="E18" s="50"/>
      <c r="F18" s="51"/>
      <c r="G18" s="78"/>
      <c r="H18" s="82"/>
      <c r="I18" s="49"/>
      <c r="J18" s="51"/>
      <c r="K18" s="51"/>
      <c r="L18" s="51"/>
      <c r="M18" s="51"/>
      <c r="N18" s="86"/>
      <c r="O18" s="74"/>
      <c r="P18" s="52"/>
      <c r="Q18" s="49"/>
      <c r="R18" s="53"/>
      <c r="S18" s="50"/>
      <c r="T18" s="70"/>
    </row>
    <row r="19" spans="1:20" ht="18.75" customHeight="1" x14ac:dyDescent="0.15">
      <c r="A19" s="359"/>
      <c r="B19" s="75" t="s">
        <v>87</v>
      </c>
      <c r="C19" s="54" t="s">
        <v>88</v>
      </c>
      <c r="D19" s="55"/>
      <c r="E19" s="56">
        <v>20</v>
      </c>
      <c r="F19" s="57" t="s">
        <v>29</v>
      </c>
      <c r="G19" s="79" t="s">
        <v>31</v>
      </c>
      <c r="H19" s="83" t="s">
        <v>88</v>
      </c>
      <c r="I19" s="55"/>
      <c r="J19" s="57">
        <f>ROUNDUP(E19*0.75,2)</f>
        <v>15</v>
      </c>
      <c r="K19" s="57" t="s">
        <v>29</v>
      </c>
      <c r="L19" s="57" t="s">
        <v>31</v>
      </c>
      <c r="M19" s="57"/>
      <c r="N19" s="87">
        <f>M19</f>
        <v>0</v>
      </c>
      <c r="O19" s="75" t="s">
        <v>54</v>
      </c>
      <c r="P19" s="58" t="s">
        <v>50</v>
      </c>
      <c r="Q19" s="55"/>
      <c r="R19" s="59">
        <v>100</v>
      </c>
      <c r="S19" s="56">
        <f>ROUNDUP(R19*0.75,2)</f>
        <v>75</v>
      </c>
      <c r="T19" s="71" t="e">
        <f>ROUNDUP((#REF!*R19)+(#REF!*S19)+(#REF!*(R19*2)),2)</f>
        <v>#REF!</v>
      </c>
    </row>
    <row r="20" spans="1:20" ht="18.75" customHeight="1" x14ac:dyDescent="0.15">
      <c r="A20" s="359"/>
      <c r="B20" s="75"/>
      <c r="C20" s="54" t="s">
        <v>61</v>
      </c>
      <c r="D20" s="55"/>
      <c r="E20" s="56">
        <v>5</v>
      </c>
      <c r="F20" s="57" t="s">
        <v>29</v>
      </c>
      <c r="G20" s="79"/>
      <c r="H20" s="83" t="s">
        <v>61</v>
      </c>
      <c r="I20" s="55"/>
      <c r="J20" s="57">
        <f>ROUNDUP(E20*0.75,2)</f>
        <v>3.75</v>
      </c>
      <c r="K20" s="57" t="s">
        <v>29</v>
      </c>
      <c r="L20" s="57"/>
      <c r="M20" s="57"/>
      <c r="N20" s="87">
        <f>ROUND(M20+(M20*3/100),2)</f>
        <v>0</v>
      </c>
      <c r="O20" s="75"/>
      <c r="P20" s="58" t="s">
        <v>89</v>
      </c>
      <c r="Q20" s="55" t="s">
        <v>90</v>
      </c>
      <c r="R20" s="59">
        <v>0.5</v>
      </c>
      <c r="S20" s="56">
        <f>ROUNDUP(R20*0.75,2)</f>
        <v>0.38</v>
      </c>
      <c r="T20" s="71" t="e">
        <f>ROUNDUP((#REF!*R20)+(#REF!*S20)+(#REF!*(R20*2)),2)</f>
        <v>#REF!</v>
      </c>
    </row>
    <row r="21" spans="1:20" ht="18.75" customHeight="1" x14ac:dyDescent="0.15">
      <c r="A21" s="359"/>
      <c r="B21" s="75"/>
      <c r="C21" s="54"/>
      <c r="D21" s="55"/>
      <c r="E21" s="56"/>
      <c r="F21" s="57"/>
      <c r="G21" s="79"/>
      <c r="H21" s="83"/>
      <c r="I21" s="55"/>
      <c r="J21" s="57"/>
      <c r="K21" s="57"/>
      <c r="L21" s="57"/>
      <c r="M21" s="57"/>
      <c r="N21" s="87"/>
      <c r="O21" s="75"/>
      <c r="P21" s="58" t="s">
        <v>43</v>
      </c>
      <c r="Q21" s="55"/>
      <c r="R21" s="59">
        <v>0.1</v>
      </c>
      <c r="S21" s="56">
        <f>ROUNDUP(R21*0.75,2)</f>
        <v>0.08</v>
      </c>
      <c r="T21" s="71" t="e">
        <f>ROUNDUP((#REF!*R21)+(#REF!*S21)+(#REF!*(R21*2)),2)</f>
        <v>#REF!</v>
      </c>
    </row>
    <row r="22" spans="1:20" ht="18.75" customHeight="1" x14ac:dyDescent="0.15">
      <c r="A22" s="359"/>
      <c r="B22" s="74"/>
      <c r="C22" s="48"/>
      <c r="D22" s="49"/>
      <c r="E22" s="50"/>
      <c r="F22" s="51"/>
      <c r="G22" s="78"/>
      <c r="H22" s="82"/>
      <c r="I22" s="49"/>
      <c r="J22" s="51"/>
      <c r="K22" s="51"/>
      <c r="L22" s="51"/>
      <c r="M22" s="51"/>
      <c r="N22" s="86"/>
      <c r="O22" s="74"/>
      <c r="P22" s="52"/>
      <c r="Q22" s="49"/>
      <c r="R22" s="53"/>
      <c r="S22" s="50"/>
      <c r="T22" s="70"/>
    </row>
    <row r="23" spans="1:20" ht="18.75" customHeight="1" x14ac:dyDescent="0.15">
      <c r="A23" s="359"/>
      <c r="B23" s="75" t="s">
        <v>91</v>
      </c>
      <c r="C23" s="54" t="s">
        <v>93</v>
      </c>
      <c r="D23" s="55"/>
      <c r="E23" s="89">
        <v>0.16666666666666666</v>
      </c>
      <c r="F23" s="57" t="s">
        <v>32</v>
      </c>
      <c r="G23" s="79"/>
      <c r="H23" s="83" t="s">
        <v>93</v>
      </c>
      <c r="I23" s="55"/>
      <c r="J23" s="57">
        <f>ROUNDUP(E23*0.75,2)</f>
        <v>0.13</v>
      </c>
      <c r="K23" s="57" t="s">
        <v>32</v>
      </c>
      <c r="L23" s="57"/>
      <c r="M23" s="57"/>
      <c r="N23" s="87">
        <f>M23</f>
        <v>0</v>
      </c>
      <c r="O23" s="75" t="s">
        <v>92</v>
      </c>
      <c r="P23" s="58"/>
      <c r="Q23" s="55"/>
      <c r="R23" s="59"/>
      <c r="S23" s="56"/>
      <c r="T23" s="71"/>
    </row>
    <row r="24" spans="1:20" ht="18.75" customHeight="1" thickBot="1" x14ac:dyDescent="0.2">
      <c r="A24" s="360"/>
      <c r="B24" s="76"/>
      <c r="C24" s="61"/>
      <c r="D24" s="62"/>
      <c r="E24" s="63"/>
      <c r="F24" s="64"/>
      <c r="G24" s="80"/>
      <c r="H24" s="84"/>
      <c r="I24" s="62"/>
      <c r="J24" s="64"/>
      <c r="K24" s="64"/>
      <c r="L24" s="64"/>
      <c r="M24" s="64"/>
      <c r="N24" s="88"/>
      <c r="O24" s="76"/>
      <c r="P24" s="65"/>
      <c r="Q24" s="62"/>
      <c r="R24" s="66"/>
      <c r="S24" s="63"/>
      <c r="T24" s="72"/>
    </row>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318</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311</v>
      </c>
      <c r="I5" s="371" t="s">
        <v>309</v>
      </c>
      <c r="J5" s="372"/>
      <c r="K5" s="372"/>
      <c r="L5" s="373" t="s">
        <v>308</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298</v>
      </c>
      <c r="C9" s="96" t="s">
        <v>75</v>
      </c>
      <c r="D9" s="96" t="s">
        <v>55</v>
      </c>
      <c r="E9" s="55"/>
      <c r="F9" s="121"/>
      <c r="G9" s="136"/>
      <c r="H9" s="115">
        <v>5</v>
      </c>
      <c r="I9" s="127" t="s">
        <v>298</v>
      </c>
      <c r="J9" s="98" t="s">
        <v>167</v>
      </c>
      <c r="K9" s="141">
        <v>5</v>
      </c>
      <c r="L9" s="136" t="s">
        <v>297</v>
      </c>
      <c r="M9" s="96" t="s">
        <v>33</v>
      </c>
      <c r="N9" s="115">
        <v>10</v>
      </c>
      <c r="O9" s="111"/>
    </row>
    <row r="10" spans="1:21" ht="20.100000000000001" customHeight="1" x14ac:dyDescent="0.15">
      <c r="A10" s="379"/>
      <c r="B10" s="96"/>
      <c r="C10" s="96" t="s">
        <v>35</v>
      </c>
      <c r="D10" s="96"/>
      <c r="E10" s="55" t="s">
        <v>36</v>
      </c>
      <c r="F10" s="121"/>
      <c r="G10" s="136"/>
      <c r="H10" s="144">
        <v>0.13</v>
      </c>
      <c r="I10" s="127"/>
      <c r="J10" s="96" t="s">
        <v>296</v>
      </c>
      <c r="K10" s="143">
        <v>0.13</v>
      </c>
      <c r="L10" s="136"/>
      <c r="M10" s="96" t="s">
        <v>83</v>
      </c>
      <c r="N10" s="115">
        <v>10</v>
      </c>
      <c r="O10" s="111"/>
    </row>
    <row r="11" spans="1:21" ht="20.100000000000001" customHeight="1" x14ac:dyDescent="0.15">
      <c r="A11" s="379"/>
      <c r="B11" s="96"/>
      <c r="C11" s="96" t="s">
        <v>33</v>
      </c>
      <c r="D11" s="96"/>
      <c r="E11" s="55"/>
      <c r="F11" s="121"/>
      <c r="G11" s="136"/>
      <c r="H11" s="115">
        <v>20</v>
      </c>
      <c r="I11" s="127"/>
      <c r="J11" s="96" t="s">
        <v>33</v>
      </c>
      <c r="K11" s="141">
        <v>20</v>
      </c>
      <c r="L11" s="135"/>
      <c r="M11" s="97"/>
      <c r="N11" s="114"/>
      <c r="O11" s="110"/>
    </row>
    <row r="12" spans="1:21" ht="20.100000000000001" customHeight="1" x14ac:dyDescent="0.15">
      <c r="A12" s="379"/>
      <c r="B12" s="96"/>
      <c r="C12" s="96"/>
      <c r="D12" s="96"/>
      <c r="E12" s="55"/>
      <c r="F12" s="121"/>
      <c r="G12" s="136" t="s">
        <v>23</v>
      </c>
      <c r="H12" s="115" t="s">
        <v>292</v>
      </c>
      <c r="I12" s="127"/>
      <c r="J12" s="96"/>
      <c r="K12" s="141"/>
      <c r="L12" s="136" t="s">
        <v>295</v>
      </c>
      <c r="M12" s="96" t="s">
        <v>88</v>
      </c>
      <c r="N12" s="115">
        <v>5</v>
      </c>
      <c r="O12" s="111" t="s">
        <v>31</v>
      </c>
    </row>
    <row r="13" spans="1:21" ht="20.100000000000001" customHeight="1" x14ac:dyDescent="0.15">
      <c r="A13" s="379"/>
      <c r="B13" s="96"/>
      <c r="C13" s="96"/>
      <c r="D13" s="96"/>
      <c r="E13" s="55"/>
      <c r="F13" s="121"/>
      <c r="G13" s="136" t="s">
        <v>24</v>
      </c>
      <c r="H13" s="115" t="s">
        <v>294</v>
      </c>
      <c r="I13" s="127"/>
      <c r="J13" s="96"/>
      <c r="K13" s="141"/>
      <c r="L13" s="136"/>
      <c r="M13" s="96" t="s">
        <v>61</v>
      </c>
      <c r="N13" s="115">
        <v>5</v>
      </c>
      <c r="O13" s="111"/>
    </row>
    <row r="14" spans="1:21" ht="20.100000000000001" customHeight="1" x14ac:dyDescent="0.15">
      <c r="A14" s="379"/>
      <c r="B14" s="96"/>
      <c r="C14" s="96"/>
      <c r="D14" s="96"/>
      <c r="E14" s="55"/>
      <c r="F14" s="121" t="s">
        <v>26</v>
      </c>
      <c r="G14" s="136" t="s">
        <v>25</v>
      </c>
      <c r="H14" s="115" t="s">
        <v>294</v>
      </c>
      <c r="I14" s="127"/>
      <c r="J14" s="96"/>
      <c r="K14" s="141"/>
      <c r="L14" s="135"/>
      <c r="M14" s="97"/>
      <c r="N14" s="114"/>
      <c r="O14" s="110"/>
    </row>
    <row r="15" spans="1:21" ht="20.100000000000001" customHeight="1" x14ac:dyDescent="0.15">
      <c r="A15" s="379"/>
      <c r="B15" s="97"/>
      <c r="C15" s="97"/>
      <c r="D15" s="97"/>
      <c r="E15" s="49"/>
      <c r="F15" s="120"/>
      <c r="G15" s="135"/>
      <c r="H15" s="114"/>
      <c r="I15" s="126"/>
      <c r="J15" s="97"/>
      <c r="K15" s="139"/>
      <c r="L15" s="136" t="s">
        <v>91</v>
      </c>
      <c r="M15" s="96" t="s">
        <v>93</v>
      </c>
      <c r="N15" s="116">
        <v>0.1</v>
      </c>
      <c r="O15" s="111"/>
    </row>
    <row r="16" spans="1:21" ht="20.100000000000001" customHeight="1" x14ac:dyDescent="0.15">
      <c r="A16" s="379"/>
      <c r="B16" s="96" t="s">
        <v>293</v>
      </c>
      <c r="C16" s="96" t="s">
        <v>83</v>
      </c>
      <c r="D16" s="96"/>
      <c r="E16" s="55"/>
      <c r="F16" s="121"/>
      <c r="G16" s="136"/>
      <c r="H16" s="115">
        <v>20</v>
      </c>
      <c r="I16" s="127" t="s">
        <v>293</v>
      </c>
      <c r="J16" s="96" t="s">
        <v>83</v>
      </c>
      <c r="K16" s="141">
        <v>10</v>
      </c>
      <c r="L16" s="136"/>
      <c r="M16" s="96"/>
      <c r="N16" s="115"/>
      <c r="O16" s="111"/>
    </row>
    <row r="17" spans="1:15" ht="20.100000000000001" customHeight="1" x14ac:dyDescent="0.15">
      <c r="A17" s="379"/>
      <c r="B17" s="96"/>
      <c r="C17" s="96" t="s">
        <v>84</v>
      </c>
      <c r="D17" s="96"/>
      <c r="E17" s="55"/>
      <c r="F17" s="121"/>
      <c r="G17" s="136"/>
      <c r="H17" s="115">
        <v>5</v>
      </c>
      <c r="I17" s="127"/>
      <c r="J17" s="96" t="s">
        <v>84</v>
      </c>
      <c r="K17" s="141">
        <v>5</v>
      </c>
      <c r="L17" s="136"/>
      <c r="M17" s="96"/>
      <c r="N17" s="115"/>
      <c r="O17" s="111"/>
    </row>
    <row r="18" spans="1:15" ht="20.100000000000001" customHeight="1" x14ac:dyDescent="0.15">
      <c r="A18" s="379"/>
      <c r="B18" s="97"/>
      <c r="C18" s="97"/>
      <c r="D18" s="97"/>
      <c r="E18" s="49"/>
      <c r="F18" s="120"/>
      <c r="G18" s="135"/>
      <c r="H18" s="114"/>
      <c r="I18" s="126"/>
      <c r="J18" s="97"/>
      <c r="K18" s="139"/>
      <c r="L18" s="136"/>
      <c r="M18" s="96"/>
      <c r="N18" s="115"/>
      <c r="O18" s="111"/>
    </row>
    <row r="19" spans="1:15" ht="20.100000000000001" customHeight="1" x14ac:dyDescent="0.15">
      <c r="A19" s="379"/>
      <c r="B19" s="96" t="s">
        <v>87</v>
      </c>
      <c r="C19" s="96" t="s">
        <v>88</v>
      </c>
      <c r="D19" s="96" t="s">
        <v>31</v>
      </c>
      <c r="E19" s="55"/>
      <c r="F19" s="122"/>
      <c r="G19" s="136"/>
      <c r="H19" s="115">
        <v>10</v>
      </c>
      <c r="I19" s="127" t="s">
        <v>87</v>
      </c>
      <c r="J19" s="96" t="s">
        <v>88</v>
      </c>
      <c r="K19" s="141">
        <v>5</v>
      </c>
      <c r="L19" s="136"/>
      <c r="M19" s="96"/>
      <c r="N19" s="115"/>
      <c r="O19" s="111"/>
    </row>
    <row r="20" spans="1:15" ht="20.100000000000001" customHeight="1" x14ac:dyDescent="0.15">
      <c r="A20" s="379"/>
      <c r="B20" s="96"/>
      <c r="C20" s="96" t="s">
        <v>61</v>
      </c>
      <c r="D20" s="96"/>
      <c r="E20" s="55"/>
      <c r="F20" s="121"/>
      <c r="G20" s="136"/>
      <c r="H20" s="115">
        <v>5</v>
      </c>
      <c r="I20" s="127"/>
      <c r="J20" s="96" t="s">
        <v>61</v>
      </c>
      <c r="K20" s="141">
        <v>5</v>
      </c>
      <c r="L20" s="136"/>
      <c r="M20" s="96"/>
      <c r="N20" s="115"/>
      <c r="O20" s="111"/>
    </row>
    <row r="21" spans="1:15" ht="20.100000000000001" customHeight="1" x14ac:dyDescent="0.15">
      <c r="A21" s="379"/>
      <c r="B21" s="96"/>
      <c r="C21" s="96"/>
      <c r="D21" s="96"/>
      <c r="E21" s="55"/>
      <c r="F21" s="121"/>
      <c r="G21" s="136" t="s">
        <v>50</v>
      </c>
      <c r="H21" s="115" t="s">
        <v>292</v>
      </c>
      <c r="I21" s="127"/>
      <c r="J21" s="96"/>
      <c r="K21" s="141"/>
      <c r="L21" s="136"/>
      <c r="M21" s="96"/>
      <c r="N21" s="115"/>
      <c r="O21" s="111"/>
    </row>
    <row r="22" spans="1:15" ht="20.100000000000001" customHeight="1" x14ac:dyDescent="0.15">
      <c r="A22" s="379"/>
      <c r="B22" s="97"/>
      <c r="C22" s="97"/>
      <c r="D22" s="97"/>
      <c r="E22" s="49"/>
      <c r="F22" s="120"/>
      <c r="G22" s="135"/>
      <c r="H22" s="114"/>
      <c r="I22" s="126"/>
      <c r="J22" s="97"/>
      <c r="K22" s="139"/>
      <c r="L22" s="136"/>
      <c r="M22" s="96"/>
      <c r="N22" s="115"/>
      <c r="O22" s="111"/>
    </row>
    <row r="23" spans="1:15" ht="20.100000000000001" customHeight="1" x14ac:dyDescent="0.15">
      <c r="A23" s="379"/>
      <c r="B23" s="96" t="s">
        <v>91</v>
      </c>
      <c r="C23" s="96" t="s">
        <v>93</v>
      </c>
      <c r="D23" s="96"/>
      <c r="E23" s="55"/>
      <c r="F23" s="121"/>
      <c r="G23" s="136"/>
      <c r="H23" s="144">
        <v>0.13</v>
      </c>
      <c r="I23" s="127" t="s">
        <v>91</v>
      </c>
      <c r="J23" s="96" t="s">
        <v>93</v>
      </c>
      <c r="K23" s="143">
        <v>0.13</v>
      </c>
      <c r="L23" s="136"/>
      <c r="M23" s="96"/>
      <c r="N23" s="115"/>
      <c r="O23" s="111"/>
    </row>
    <row r="24" spans="1:15" ht="20.100000000000001" customHeight="1" thickBot="1" x14ac:dyDescent="0.2">
      <c r="A24" s="380"/>
      <c r="B24" s="95"/>
      <c r="C24" s="95"/>
      <c r="D24" s="95"/>
      <c r="E24" s="62"/>
      <c r="F24" s="123"/>
      <c r="G24" s="137"/>
      <c r="H24" s="117"/>
      <c r="I24" s="128"/>
      <c r="J24" s="95"/>
      <c r="K24" s="142"/>
      <c r="L24" s="137"/>
      <c r="M24" s="95"/>
      <c r="N24" s="117"/>
      <c r="O24" s="112"/>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row r="63" spans="2:14" ht="14.25" x14ac:dyDescent="0.15">
      <c r="B63" s="94"/>
      <c r="C63" s="94"/>
      <c r="D63" s="94"/>
      <c r="G63" s="94"/>
      <c r="H63" s="93"/>
      <c r="I63" s="94"/>
      <c r="J63" s="94"/>
      <c r="K63" s="93"/>
      <c r="L63" s="94"/>
      <c r="M63" s="94"/>
      <c r="N63" s="93"/>
    </row>
    <row r="64" spans="2:14" ht="14.25" x14ac:dyDescent="0.15">
      <c r="B64" s="94"/>
      <c r="C64" s="94"/>
      <c r="D64" s="94"/>
      <c r="G64" s="94"/>
      <c r="H64" s="93"/>
      <c r="I64" s="94"/>
      <c r="J64" s="94"/>
      <c r="K64" s="93"/>
      <c r="L64" s="94"/>
      <c r="M64" s="94"/>
      <c r="N64" s="93"/>
    </row>
    <row r="65" spans="2:14" ht="14.25" x14ac:dyDescent="0.15">
      <c r="B65" s="94"/>
      <c r="C65" s="94"/>
      <c r="D65" s="94"/>
      <c r="G65" s="94"/>
      <c r="H65" s="93"/>
      <c r="I65" s="94"/>
      <c r="J65" s="94"/>
      <c r="K65" s="93"/>
      <c r="L65" s="94"/>
      <c r="M65" s="94"/>
      <c r="N65" s="93"/>
    </row>
  </sheetData>
  <mergeCells count="13">
    <mergeCell ref="A7:A24"/>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391</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390</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298</v>
      </c>
      <c r="C9" s="96" t="s">
        <v>75</v>
      </c>
      <c r="D9" s="96" t="s">
        <v>55</v>
      </c>
      <c r="E9" s="55"/>
      <c r="F9" s="121"/>
      <c r="G9" s="136"/>
      <c r="H9" s="115">
        <v>5</v>
      </c>
      <c r="I9" s="127" t="s">
        <v>298</v>
      </c>
      <c r="J9" s="98" t="s">
        <v>167</v>
      </c>
      <c r="K9" s="141">
        <v>5</v>
      </c>
      <c r="L9" s="136" t="s">
        <v>297</v>
      </c>
      <c r="M9" s="96" t="s">
        <v>33</v>
      </c>
      <c r="N9" s="115">
        <v>10</v>
      </c>
      <c r="O9" s="111"/>
    </row>
    <row r="10" spans="1:21" ht="20.100000000000001" customHeight="1" x14ac:dyDescent="0.15">
      <c r="A10" s="379"/>
      <c r="B10" s="96"/>
      <c r="C10" s="96" t="s">
        <v>35</v>
      </c>
      <c r="D10" s="96"/>
      <c r="E10" s="55" t="s">
        <v>36</v>
      </c>
      <c r="F10" s="121"/>
      <c r="G10" s="136"/>
      <c r="H10" s="144">
        <v>0.13</v>
      </c>
      <c r="I10" s="127"/>
      <c r="J10" s="96" t="s">
        <v>296</v>
      </c>
      <c r="K10" s="143">
        <v>0.13</v>
      </c>
      <c r="L10" s="136"/>
      <c r="M10" s="96" t="s">
        <v>83</v>
      </c>
      <c r="N10" s="115">
        <v>10</v>
      </c>
      <c r="O10" s="111"/>
    </row>
    <row r="11" spans="1:21" ht="20.100000000000001" customHeight="1" x14ac:dyDescent="0.15">
      <c r="A11" s="379"/>
      <c r="B11" s="96"/>
      <c r="C11" s="96" t="s">
        <v>33</v>
      </c>
      <c r="D11" s="96"/>
      <c r="E11" s="55"/>
      <c r="F11" s="121"/>
      <c r="G11" s="136"/>
      <c r="H11" s="115">
        <v>20</v>
      </c>
      <c r="I11" s="127"/>
      <c r="J11" s="96" t="s">
        <v>33</v>
      </c>
      <c r="K11" s="141">
        <v>20</v>
      </c>
      <c r="L11" s="135"/>
      <c r="M11" s="97"/>
      <c r="N11" s="114"/>
      <c r="O11" s="110"/>
    </row>
    <row r="12" spans="1:21" ht="20.100000000000001" customHeight="1" x14ac:dyDescent="0.15">
      <c r="A12" s="379"/>
      <c r="B12" s="96"/>
      <c r="C12" s="96"/>
      <c r="D12" s="96"/>
      <c r="E12" s="55"/>
      <c r="F12" s="121"/>
      <c r="G12" s="136" t="s">
        <v>23</v>
      </c>
      <c r="H12" s="115" t="s">
        <v>292</v>
      </c>
      <c r="I12" s="127"/>
      <c r="J12" s="96"/>
      <c r="K12" s="141"/>
      <c r="L12" s="136" t="s">
        <v>295</v>
      </c>
      <c r="M12" s="96" t="s">
        <v>88</v>
      </c>
      <c r="N12" s="115">
        <v>5</v>
      </c>
      <c r="O12" s="111" t="s">
        <v>31</v>
      </c>
    </row>
    <row r="13" spans="1:21" ht="20.100000000000001" customHeight="1" x14ac:dyDescent="0.15">
      <c r="A13" s="379"/>
      <c r="B13" s="96"/>
      <c r="C13" s="96"/>
      <c r="D13" s="96"/>
      <c r="E13" s="55"/>
      <c r="F13" s="121"/>
      <c r="G13" s="136" t="s">
        <v>24</v>
      </c>
      <c r="H13" s="115" t="s">
        <v>294</v>
      </c>
      <c r="I13" s="127"/>
      <c r="J13" s="96"/>
      <c r="K13" s="141"/>
      <c r="L13" s="136"/>
      <c r="M13" s="96" t="s">
        <v>61</v>
      </c>
      <c r="N13" s="115">
        <v>5</v>
      </c>
      <c r="O13" s="111"/>
    </row>
    <row r="14" spans="1:21" ht="20.100000000000001" customHeight="1" x14ac:dyDescent="0.15">
      <c r="A14" s="379"/>
      <c r="B14" s="96"/>
      <c r="C14" s="96"/>
      <c r="D14" s="96"/>
      <c r="E14" s="55"/>
      <c r="F14" s="121" t="s">
        <v>26</v>
      </c>
      <c r="G14" s="136" t="s">
        <v>25</v>
      </c>
      <c r="H14" s="115" t="s">
        <v>294</v>
      </c>
      <c r="I14" s="127"/>
      <c r="J14" s="96"/>
      <c r="K14" s="141"/>
      <c r="L14" s="135"/>
      <c r="M14" s="97"/>
      <c r="N14" s="114"/>
      <c r="O14" s="110"/>
    </row>
    <row r="15" spans="1:21" ht="20.100000000000001" customHeight="1" x14ac:dyDescent="0.15">
      <c r="A15" s="379"/>
      <c r="B15" s="97"/>
      <c r="C15" s="97"/>
      <c r="D15" s="97"/>
      <c r="E15" s="49"/>
      <c r="F15" s="120"/>
      <c r="G15" s="135"/>
      <c r="H15" s="114"/>
      <c r="I15" s="126"/>
      <c r="J15" s="97"/>
      <c r="K15" s="139"/>
      <c r="L15" s="136" t="s">
        <v>91</v>
      </c>
      <c r="M15" s="96" t="s">
        <v>93</v>
      </c>
      <c r="N15" s="116">
        <v>0.1</v>
      </c>
      <c r="O15" s="111"/>
    </row>
    <row r="16" spans="1:21" ht="20.100000000000001" customHeight="1" x14ac:dyDescent="0.15">
      <c r="A16" s="379"/>
      <c r="B16" s="96" t="s">
        <v>293</v>
      </c>
      <c r="C16" s="96" t="s">
        <v>83</v>
      </c>
      <c r="D16" s="96"/>
      <c r="E16" s="55"/>
      <c r="F16" s="121"/>
      <c r="G16" s="136"/>
      <c r="H16" s="115">
        <v>20</v>
      </c>
      <c r="I16" s="127" t="s">
        <v>293</v>
      </c>
      <c r="J16" s="96" t="s">
        <v>83</v>
      </c>
      <c r="K16" s="141">
        <v>10</v>
      </c>
      <c r="L16" s="136"/>
      <c r="M16" s="96"/>
      <c r="N16" s="115"/>
      <c r="O16" s="111"/>
    </row>
    <row r="17" spans="1:15" ht="20.100000000000001" customHeight="1" x14ac:dyDescent="0.15">
      <c r="A17" s="379"/>
      <c r="B17" s="96"/>
      <c r="C17" s="96" t="s">
        <v>84</v>
      </c>
      <c r="D17" s="96"/>
      <c r="E17" s="55"/>
      <c r="F17" s="121"/>
      <c r="G17" s="136"/>
      <c r="H17" s="115">
        <v>5</v>
      </c>
      <c r="I17" s="127"/>
      <c r="J17" s="96" t="s">
        <v>84</v>
      </c>
      <c r="K17" s="141">
        <v>5</v>
      </c>
      <c r="L17" s="136"/>
      <c r="M17" s="96"/>
      <c r="N17" s="115"/>
      <c r="O17" s="111"/>
    </row>
    <row r="18" spans="1:15" ht="20.100000000000001" customHeight="1" x14ac:dyDescent="0.15">
      <c r="A18" s="379"/>
      <c r="B18" s="97"/>
      <c r="C18" s="97"/>
      <c r="D18" s="97"/>
      <c r="E18" s="49"/>
      <c r="F18" s="120"/>
      <c r="G18" s="135"/>
      <c r="H18" s="114"/>
      <c r="I18" s="126"/>
      <c r="J18" s="97"/>
      <c r="K18" s="139"/>
      <c r="L18" s="136"/>
      <c r="M18" s="96"/>
      <c r="N18" s="115"/>
      <c r="O18" s="111"/>
    </row>
    <row r="19" spans="1:15" ht="20.100000000000001" customHeight="1" x14ac:dyDescent="0.15">
      <c r="A19" s="379"/>
      <c r="B19" s="96" t="s">
        <v>87</v>
      </c>
      <c r="C19" s="96" t="s">
        <v>88</v>
      </c>
      <c r="D19" s="96" t="s">
        <v>31</v>
      </c>
      <c r="E19" s="55"/>
      <c r="F19" s="122"/>
      <c r="G19" s="136"/>
      <c r="H19" s="115">
        <v>10</v>
      </c>
      <c r="I19" s="127" t="s">
        <v>87</v>
      </c>
      <c r="J19" s="96" t="s">
        <v>88</v>
      </c>
      <c r="K19" s="141">
        <v>5</v>
      </c>
      <c r="L19" s="136"/>
      <c r="M19" s="96"/>
      <c r="N19" s="115"/>
      <c r="O19" s="111"/>
    </row>
    <row r="20" spans="1:15" ht="20.100000000000001" customHeight="1" x14ac:dyDescent="0.15">
      <c r="A20" s="379"/>
      <c r="B20" s="96"/>
      <c r="C20" s="96" t="s">
        <v>61</v>
      </c>
      <c r="D20" s="96"/>
      <c r="E20" s="55"/>
      <c r="F20" s="121"/>
      <c r="G20" s="136"/>
      <c r="H20" s="115">
        <v>5</v>
      </c>
      <c r="I20" s="127"/>
      <c r="J20" s="96" t="s">
        <v>61</v>
      </c>
      <c r="K20" s="141">
        <v>5</v>
      </c>
      <c r="L20" s="136"/>
      <c r="M20" s="96"/>
      <c r="N20" s="115"/>
      <c r="O20" s="111"/>
    </row>
    <row r="21" spans="1:15" ht="20.100000000000001" customHeight="1" x14ac:dyDescent="0.15">
      <c r="A21" s="379"/>
      <c r="B21" s="96"/>
      <c r="C21" s="96"/>
      <c r="D21" s="96"/>
      <c r="E21" s="55"/>
      <c r="F21" s="121"/>
      <c r="G21" s="136" t="s">
        <v>50</v>
      </c>
      <c r="H21" s="115" t="s">
        <v>292</v>
      </c>
      <c r="I21" s="127"/>
      <c r="J21" s="96"/>
      <c r="K21" s="141"/>
      <c r="L21" s="136"/>
      <c r="M21" s="96"/>
      <c r="N21" s="115"/>
      <c r="O21" s="111"/>
    </row>
    <row r="22" spans="1:15" ht="20.100000000000001" customHeight="1" x14ac:dyDescent="0.15">
      <c r="A22" s="379"/>
      <c r="B22" s="97"/>
      <c r="C22" s="97"/>
      <c r="D22" s="97"/>
      <c r="E22" s="49"/>
      <c r="F22" s="120"/>
      <c r="G22" s="135"/>
      <c r="H22" s="114"/>
      <c r="I22" s="126"/>
      <c r="J22" s="97"/>
      <c r="K22" s="139"/>
      <c r="L22" s="136"/>
      <c r="M22" s="96"/>
      <c r="N22" s="115"/>
      <c r="O22" s="111"/>
    </row>
    <row r="23" spans="1:15" ht="20.100000000000001" customHeight="1" x14ac:dyDescent="0.15">
      <c r="A23" s="379"/>
      <c r="B23" s="96" t="s">
        <v>91</v>
      </c>
      <c r="C23" s="96" t="s">
        <v>93</v>
      </c>
      <c r="D23" s="96"/>
      <c r="E23" s="55"/>
      <c r="F23" s="121"/>
      <c r="G23" s="136"/>
      <c r="H23" s="144">
        <v>0.13</v>
      </c>
      <c r="I23" s="127" t="s">
        <v>91</v>
      </c>
      <c r="J23" s="96" t="s">
        <v>93</v>
      </c>
      <c r="K23" s="143">
        <v>0.13</v>
      </c>
      <c r="L23" s="136"/>
      <c r="M23" s="96"/>
      <c r="N23" s="115"/>
      <c r="O23" s="111"/>
    </row>
    <row r="24" spans="1:15" ht="20.100000000000001" customHeight="1" thickBot="1" x14ac:dyDescent="0.2">
      <c r="A24" s="380"/>
      <c r="B24" s="95"/>
      <c r="C24" s="95"/>
      <c r="D24" s="95"/>
      <c r="E24" s="62"/>
      <c r="F24" s="123"/>
      <c r="G24" s="137"/>
      <c r="H24" s="117"/>
      <c r="I24" s="128"/>
      <c r="J24" s="95"/>
      <c r="K24" s="142"/>
      <c r="L24" s="137"/>
      <c r="M24" s="95"/>
      <c r="N24" s="117"/>
      <c r="O24" s="112"/>
    </row>
    <row r="25" spans="1:15" ht="20.100000000000001" customHeight="1" x14ac:dyDescent="0.15">
      <c r="B25" s="94"/>
      <c r="C25" s="94"/>
      <c r="D25" s="94"/>
      <c r="G25" s="94"/>
      <c r="H25" s="93"/>
      <c r="I25" s="94"/>
      <c r="J25" s="94"/>
      <c r="K25" s="93"/>
      <c r="L25" s="94"/>
      <c r="M25" s="94"/>
      <c r="N25" s="93"/>
    </row>
    <row r="26" spans="1:15" ht="20.100000000000001" customHeight="1" x14ac:dyDescent="0.15">
      <c r="B26" s="94"/>
      <c r="C26" s="94"/>
      <c r="D26" s="94"/>
      <c r="G26" s="94"/>
      <c r="H26" s="93"/>
      <c r="I26" s="94"/>
      <c r="J26" s="94"/>
      <c r="K26" s="93"/>
      <c r="L26" s="94"/>
      <c r="M26" s="94"/>
      <c r="N26" s="93"/>
    </row>
    <row r="27" spans="1:15" ht="20.100000000000001" customHeight="1" x14ac:dyDescent="0.15">
      <c r="B27" s="94"/>
      <c r="C27" s="94"/>
      <c r="D27" s="94"/>
      <c r="G27" s="94"/>
      <c r="H27" s="93"/>
      <c r="I27" s="94"/>
      <c r="J27" s="94"/>
      <c r="K27" s="93"/>
      <c r="L27" s="94"/>
      <c r="M27" s="94"/>
      <c r="N27" s="93"/>
    </row>
    <row r="28" spans="1:15" ht="20.100000000000001" customHeight="1" x14ac:dyDescent="0.15">
      <c r="B28" s="94"/>
      <c r="C28" s="94"/>
      <c r="D28" s="94"/>
      <c r="G28" s="94"/>
      <c r="H28" s="93"/>
      <c r="I28" s="94"/>
      <c r="J28" s="94"/>
      <c r="K28" s="93"/>
      <c r="L28" s="94"/>
      <c r="M28" s="94"/>
      <c r="N28" s="93"/>
    </row>
    <row r="29" spans="1:15" ht="20.100000000000001" customHeight="1" x14ac:dyDescent="0.15">
      <c r="B29" s="94"/>
      <c r="C29" s="94"/>
      <c r="D29" s="94"/>
      <c r="G29" s="94"/>
      <c r="H29" s="93"/>
      <c r="I29" s="94"/>
      <c r="J29" s="94"/>
      <c r="K29" s="93"/>
      <c r="L29" s="94"/>
      <c r="M29" s="94"/>
      <c r="N29" s="93"/>
    </row>
    <row r="30" spans="1:15" ht="20.100000000000001" customHeight="1"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row r="63" spans="2:14" ht="14.25" x14ac:dyDescent="0.15">
      <c r="B63" s="94"/>
      <c r="C63" s="94"/>
      <c r="D63" s="94"/>
      <c r="G63" s="94"/>
      <c r="H63" s="93"/>
      <c r="I63" s="94"/>
      <c r="J63" s="94"/>
      <c r="K63" s="93"/>
      <c r="L63" s="94"/>
      <c r="M63" s="94"/>
      <c r="N63" s="93"/>
    </row>
    <row r="64" spans="2:14" ht="14.25" x14ac:dyDescent="0.15">
      <c r="B64" s="94"/>
      <c r="C64" s="94"/>
      <c r="D64" s="94"/>
      <c r="G64" s="94"/>
      <c r="H64" s="93"/>
      <c r="I64" s="94"/>
      <c r="J64" s="94"/>
      <c r="K64" s="93"/>
      <c r="L64" s="94"/>
      <c r="M64" s="94"/>
      <c r="N64" s="93"/>
    </row>
    <row r="65" spans="2:14" ht="14.25" x14ac:dyDescent="0.15">
      <c r="B65" s="94"/>
      <c r="C65" s="94"/>
      <c r="D65" s="94"/>
      <c r="G65" s="94"/>
      <c r="H65" s="93"/>
      <c r="I65" s="94"/>
      <c r="J65" s="94"/>
      <c r="K65" s="93"/>
      <c r="L65" s="94"/>
      <c r="M65" s="94"/>
      <c r="N65" s="93"/>
    </row>
  </sheetData>
  <mergeCells count="13">
    <mergeCell ref="A7:A24"/>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102</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18</v>
      </c>
      <c r="C5" s="42"/>
      <c r="D5" s="43"/>
      <c r="E5" s="44"/>
      <c r="F5" s="45"/>
      <c r="G5" s="77"/>
      <c r="H5" s="81"/>
      <c r="I5" s="43"/>
      <c r="J5" s="45"/>
      <c r="K5" s="45"/>
      <c r="L5" s="45"/>
      <c r="M5" s="45"/>
      <c r="N5" s="85"/>
      <c r="O5" s="73"/>
      <c r="P5" s="46" t="s">
        <v>18</v>
      </c>
      <c r="Q5" s="43"/>
      <c r="R5" s="47">
        <v>110</v>
      </c>
      <c r="S5" s="44">
        <f>ROUNDUP(R5*0.75,2)</f>
        <v>82.5</v>
      </c>
      <c r="T5" s="69"/>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103</v>
      </c>
      <c r="C7" s="54" t="s">
        <v>108</v>
      </c>
      <c r="D7" s="55"/>
      <c r="E7" s="56">
        <v>20</v>
      </c>
      <c r="F7" s="57" t="s">
        <v>29</v>
      </c>
      <c r="G7" s="79" t="s">
        <v>55</v>
      </c>
      <c r="H7" s="83" t="s">
        <v>108</v>
      </c>
      <c r="I7" s="55"/>
      <c r="J7" s="57">
        <f>ROUNDUP(E7*0.75,2)</f>
        <v>15</v>
      </c>
      <c r="K7" s="57" t="s">
        <v>29</v>
      </c>
      <c r="L7" s="57" t="s">
        <v>55</v>
      </c>
      <c r="M7" s="57"/>
      <c r="N7" s="87">
        <f>M7</f>
        <v>0</v>
      </c>
      <c r="O7" s="75" t="s">
        <v>104</v>
      </c>
      <c r="P7" s="58" t="s">
        <v>62</v>
      </c>
      <c r="Q7" s="55"/>
      <c r="R7" s="59">
        <v>1</v>
      </c>
      <c r="S7" s="56">
        <f t="shared" ref="S7:S13" si="0">ROUNDUP(R7*0.75,2)</f>
        <v>0.75</v>
      </c>
      <c r="T7" s="71"/>
    </row>
    <row r="8" spans="1:21" ht="18.75" customHeight="1" x14ac:dyDescent="0.15">
      <c r="A8" s="359"/>
      <c r="B8" s="75"/>
      <c r="C8" s="54" t="s">
        <v>109</v>
      </c>
      <c r="D8" s="55"/>
      <c r="E8" s="56">
        <v>0.5</v>
      </c>
      <c r="F8" s="57" t="s">
        <v>29</v>
      </c>
      <c r="G8" s="79"/>
      <c r="H8" s="83" t="s">
        <v>109</v>
      </c>
      <c r="I8" s="55"/>
      <c r="J8" s="57">
        <f>ROUNDUP(E8*0.75,2)</f>
        <v>0.38</v>
      </c>
      <c r="K8" s="57" t="s">
        <v>29</v>
      </c>
      <c r="L8" s="57"/>
      <c r="M8" s="57"/>
      <c r="N8" s="87">
        <f>ROUND(M8+(M8*20/100),2)</f>
        <v>0</v>
      </c>
      <c r="O8" s="75" t="s">
        <v>105</v>
      </c>
      <c r="P8" s="58" t="s">
        <v>50</v>
      </c>
      <c r="Q8" s="55"/>
      <c r="R8" s="59">
        <v>15</v>
      </c>
      <c r="S8" s="56">
        <f t="shared" si="0"/>
        <v>11.25</v>
      </c>
      <c r="T8" s="71"/>
    </row>
    <row r="9" spans="1:21" ht="18.75" customHeight="1" x14ac:dyDescent="0.15">
      <c r="A9" s="359"/>
      <c r="B9" s="75"/>
      <c r="C9" s="54" t="s">
        <v>110</v>
      </c>
      <c r="D9" s="55"/>
      <c r="E9" s="56">
        <v>5</v>
      </c>
      <c r="F9" s="57" t="s">
        <v>29</v>
      </c>
      <c r="G9" s="79"/>
      <c r="H9" s="83" t="s">
        <v>110</v>
      </c>
      <c r="I9" s="55"/>
      <c r="J9" s="57">
        <f>ROUNDUP(E9*0.75,2)</f>
        <v>3.75</v>
      </c>
      <c r="K9" s="57" t="s">
        <v>29</v>
      </c>
      <c r="L9" s="57"/>
      <c r="M9" s="57"/>
      <c r="N9" s="87">
        <f>ROUND(M9+(M9*40/100),2)</f>
        <v>0</v>
      </c>
      <c r="O9" s="75" t="s">
        <v>106</v>
      </c>
      <c r="P9" s="58" t="s">
        <v>24</v>
      </c>
      <c r="Q9" s="55"/>
      <c r="R9" s="59">
        <v>1</v>
      </c>
      <c r="S9" s="56">
        <f t="shared" si="0"/>
        <v>0.75</v>
      </c>
      <c r="T9" s="71"/>
    </row>
    <row r="10" spans="1:21" ht="18.75" customHeight="1" x14ac:dyDescent="0.15">
      <c r="A10" s="359"/>
      <c r="B10" s="75"/>
      <c r="C10" s="54" t="s">
        <v>58</v>
      </c>
      <c r="D10" s="55"/>
      <c r="E10" s="68">
        <v>0.33333333333333331</v>
      </c>
      <c r="F10" s="57" t="s">
        <v>59</v>
      </c>
      <c r="G10" s="79" t="s">
        <v>39</v>
      </c>
      <c r="H10" s="83" t="s">
        <v>58</v>
      </c>
      <c r="I10" s="55"/>
      <c r="J10" s="57">
        <f>ROUNDUP(E10*0.75,2)</f>
        <v>0.25</v>
      </c>
      <c r="K10" s="57" t="s">
        <v>59</v>
      </c>
      <c r="L10" s="57" t="s">
        <v>39</v>
      </c>
      <c r="M10" s="57"/>
      <c r="N10" s="87">
        <f>M10</f>
        <v>0</v>
      </c>
      <c r="O10" s="75" t="s">
        <v>107</v>
      </c>
      <c r="P10" s="58" t="s">
        <v>37</v>
      </c>
      <c r="Q10" s="55"/>
      <c r="R10" s="59">
        <v>1</v>
      </c>
      <c r="S10" s="56">
        <f t="shared" si="0"/>
        <v>0.75</v>
      </c>
      <c r="T10" s="71"/>
    </row>
    <row r="11" spans="1:21" ht="18.75" customHeight="1" x14ac:dyDescent="0.15">
      <c r="A11" s="359"/>
      <c r="B11" s="75"/>
      <c r="C11" s="54" t="s">
        <v>111</v>
      </c>
      <c r="D11" s="55"/>
      <c r="E11" s="56">
        <v>3</v>
      </c>
      <c r="F11" s="57" t="s">
        <v>29</v>
      </c>
      <c r="G11" s="79"/>
      <c r="H11" s="83" t="s">
        <v>111</v>
      </c>
      <c r="I11" s="55"/>
      <c r="J11" s="57">
        <f>ROUNDUP(E11*0.75,2)</f>
        <v>2.25</v>
      </c>
      <c r="K11" s="57" t="s">
        <v>29</v>
      </c>
      <c r="L11" s="57"/>
      <c r="M11" s="57"/>
      <c r="N11" s="87">
        <f>ROUND(M11+(M11*5/100),2)</f>
        <v>0</v>
      </c>
      <c r="O11" s="75" t="s">
        <v>19</v>
      </c>
      <c r="P11" s="58" t="s">
        <v>25</v>
      </c>
      <c r="Q11" s="55" t="s">
        <v>26</v>
      </c>
      <c r="R11" s="59">
        <v>1</v>
      </c>
      <c r="S11" s="56">
        <f t="shared" si="0"/>
        <v>0.75</v>
      </c>
      <c r="T11" s="71"/>
    </row>
    <row r="12" spans="1:21" ht="18.75" customHeight="1" x14ac:dyDescent="0.15">
      <c r="A12" s="359"/>
      <c r="B12" s="75"/>
      <c r="C12" s="54"/>
      <c r="D12" s="55"/>
      <c r="E12" s="56"/>
      <c r="F12" s="57"/>
      <c r="G12" s="79"/>
      <c r="H12" s="83"/>
      <c r="I12" s="55"/>
      <c r="J12" s="57"/>
      <c r="K12" s="57"/>
      <c r="L12" s="57"/>
      <c r="M12" s="57"/>
      <c r="N12" s="87"/>
      <c r="O12" s="75"/>
      <c r="P12" s="58" t="s">
        <v>66</v>
      </c>
      <c r="Q12" s="55"/>
      <c r="R12" s="59">
        <v>3</v>
      </c>
      <c r="S12" s="56">
        <f t="shared" si="0"/>
        <v>2.25</v>
      </c>
      <c r="T12" s="71"/>
    </row>
    <row r="13" spans="1:21" ht="18.75" customHeight="1" x14ac:dyDescent="0.15">
      <c r="A13" s="359"/>
      <c r="B13" s="75"/>
      <c r="C13" s="54"/>
      <c r="D13" s="55"/>
      <c r="E13" s="56"/>
      <c r="F13" s="57"/>
      <c r="G13" s="79"/>
      <c r="H13" s="83"/>
      <c r="I13" s="55"/>
      <c r="J13" s="57"/>
      <c r="K13" s="57"/>
      <c r="L13" s="57"/>
      <c r="M13" s="57"/>
      <c r="N13" s="87"/>
      <c r="O13" s="75"/>
      <c r="P13" s="58" t="s">
        <v>21</v>
      </c>
      <c r="Q13" s="55"/>
      <c r="R13" s="59">
        <v>1</v>
      </c>
      <c r="S13" s="56">
        <f t="shared" si="0"/>
        <v>0.75</v>
      </c>
      <c r="T13" s="71"/>
    </row>
    <row r="14" spans="1:21" ht="18.75" customHeight="1" x14ac:dyDescent="0.15">
      <c r="A14" s="359"/>
      <c r="B14" s="74"/>
      <c r="C14" s="48"/>
      <c r="D14" s="49"/>
      <c r="E14" s="50"/>
      <c r="F14" s="51"/>
      <c r="G14" s="78"/>
      <c r="H14" s="82"/>
      <c r="I14" s="49"/>
      <c r="J14" s="51"/>
      <c r="K14" s="51"/>
      <c r="L14" s="51"/>
      <c r="M14" s="51"/>
      <c r="N14" s="86"/>
      <c r="O14" s="74"/>
      <c r="P14" s="52"/>
      <c r="Q14" s="49"/>
      <c r="R14" s="53"/>
      <c r="S14" s="50"/>
      <c r="T14" s="70"/>
    </row>
    <row r="15" spans="1:21" ht="18.75" customHeight="1" x14ac:dyDescent="0.15">
      <c r="A15" s="359"/>
      <c r="B15" s="75" t="s">
        <v>112</v>
      </c>
      <c r="C15" s="54" t="s">
        <v>60</v>
      </c>
      <c r="D15" s="55"/>
      <c r="E15" s="56">
        <v>30</v>
      </c>
      <c r="F15" s="57" t="s">
        <v>29</v>
      </c>
      <c r="G15" s="79" t="s">
        <v>31</v>
      </c>
      <c r="H15" s="83" t="s">
        <v>60</v>
      </c>
      <c r="I15" s="55"/>
      <c r="J15" s="57">
        <f>ROUNDUP(E15*0.75,2)</f>
        <v>22.5</v>
      </c>
      <c r="K15" s="57" t="s">
        <v>29</v>
      </c>
      <c r="L15" s="57" t="s">
        <v>31</v>
      </c>
      <c r="M15" s="57"/>
      <c r="N15" s="87">
        <f>M15</f>
        <v>0</v>
      </c>
      <c r="O15" s="75" t="s">
        <v>113</v>
      </c>
      <c r="P15" s="58" t="s">
        <v>24</v>
      </c>
      <c r="Q15" s="55"/>
      <c r="R15" s="59">
        <v>1</v>
      </c>
      <c r="S15" s="56">
        <f>ROUNDUP(R15*0.75,2)</f>
        <v>0.75</v>
      </c>
      <c r="T15" s="71"/>
    </row>
    <row r="16" spans="1:21" ht="18.75" customHeight="1" x14ac:dyDescent="0.15">
      <c r="A16" s="359"/>
      <c r="B16" s="75"/>
      <c r="C16" s="54" t="s">
        <v>115</v>
      </c>
      <c r="D16" s="55"/>
      <c r="E16" s="56">
        <v>5</v>
      </c>
      <c r="F16" s="57" t="s">
        <v>29</v>
      </c>
      <c r="G16" s="79"/>
      <c r="H16" s="83" t="s">
        <v>115</v>
      </c>
      <c r="I16" s="55"/>
      <c r="J16" s="57">
        <f>ROUNDUP(E16*0.75,2)</f>
        <v>3.75</v>
      </c>
      <c r="K16" s="57" t="s">
        <v>29</v>
      </c>
      <c r="L16" s="57"/>
      <c r="M16" s="57"/>
      <c r="N16" s="87">
        <f>ROUND(M16+(M16*10/100),2)</f>
        <v>0</v>
      </c>
      <c r="O16" s="75" t="s">
        <v>114</v>
      </c>
      <c r="P16" s="58" t="s">
        <v>43</v>
      </c>
      <c r="Q16" s="55"/>
      <c r="R16" s="59">
        <v>0.1</v>
      </c>
      <c r="S16" s="56">
        <f>ROUNDUP(R16*0.75,2)</f>
        <v>0.08</v>
      </c>
      <c r="T16" s="71"/>
    </row>
    <row r="17" spans="1:20" ht="18.75" customHeight="1" x14ac:dyDescent="0.15">
      <c r="A17" s="359"/>
      <c r="B17" s="75"/>
      <c r="C17" s="54" t="s">
        <v>116</v>
      </c>
      <c r="D17" s="55"/>
      <c r="E17" s="56">
        <v>2</v>
      </c>
      <c r="F17" s="57" t="s">
        <v>29</v>
      </c>
      <c r="G17" s="79" t="s">
        <v>117</v>
      </c>
      <c r="H17" s="83" t="s">
        <v>116</v>
      </c>
      <c r="I17" s="55"/>
      <c r="J17" s="57">
        <f>ROUNDUP(E17*0.75,2)</f>
        <v>1.5</v>
      </c>
      <c r="K17" s="57" t="s">
        <v>29</v>
      </c>
      <c r="L17" s="57" t="s">
        <v>117</v>
      </c>
      <c r="M17" s="57"/>
      <c r="N17" s="87">
        <f>M17</f>
        <v>0</v>
      </c>
      <c r="O17" s="75" t="s">
        <v>19</v>
      </c>
      <c r="P17" s="58" t="s">
        <v>57</v>
      </c>
      <c r="Q17" s="55"/>
      <c r="R17" s="59">
        <v>2</v>
      </c>
      <c r="S17" s="56">
        <f>ROUNDUP(R17*0.75,2)</f>
        <v>1.5</v>
      </c>
      <c r="T17" s="71"/>
    </row>
    <row r="18" spans="1:20" ht="18.75" customHeight="1" x14ac:dyDescent="0.15">
      <c r="A18" s="359"/>
      <c r="B18" s="75"/>
      <c r="C18" s="54"/>
      <c r="D18" s="55"/>
      <c r="E18" s="56"/>
      <c r="F18" s="57"/>
      <c r="G18" s="79"/>
      <c r="H18" s="83"/>
      <c r="I18" s="55"/>
      <c r="J18" s="57"/>
      <c r="K18" s="57"/>
      <c r="L18" s="57"/>
      <c r="M18" s="57"/>
      <c r="N18" s="87"/>
      <c r="O18" s="75"/>
      <c r="P18" s="58" t="s">
        <v>62</v>
      </c>
      <c r="Q18" s="55"/>
      <c r="R18" s="59">
        <v>2</v>
      </c>
      <c r="S18" s="56">
        <f>ROUNDUP(R18*0.75,2)</f>
        <v>1.5</v>
      </c>
      <c r="T18" s="71"/>
    </row>
    <row r="19" spans="1:20" ht="18.75" customHeight="1" x14ac:dyDescent="0.15">
      <c r="A19" s="359"/>
      <c r="B19" s="74"/>
      <c r="C19" s="48"/>
      <c r="D19" s="49"/>
      <c r="E19" s="50"/>
      <c r="F19" s="51"/>
      <c r="G19" s="78"/>
      <c r="H19" s="82"/>
      <c r="I19" s="49"/>
      <c r="J19" s="51"/>
      <c r="K19" s="51"/>
      <c r="L19" s="51"/>
      <c r="M19" s="51"/>
      <c r="N19" s="86"/>
      <c r="O19" s="74"/>
      <c r="P19" s="52"/>
      <c r="Q19" s="49"/>
      <c r="R19" s="53"/>
      <c r="S19" s="50"/>
      <c r="T19" s="70"/>
    </row>
    <row r="20" spans="1:20" ht="18.75" customHeight="1" x14ac:dyDescent="0.15">
      <c r="A20" s="359"/>
      <c r="B20" s="75" t="s">
        <v>118</v>
      </c>
      <c r="C20" s="54" t="s">
        <v>119</v>
      </c>
      <c r="D20" s="55"/>
      <c r="E20" s="56">
        <v>5</v>
      </c>
      <c r="F20" s="57" t="s">
        <v>29</v>
      </c>
      <c r="G20" s="79" t="s">
        <v>55</v>
      </c>
      <c r="H20" s="83" t="s">
        <v>119</v>
      </c>
      <c r="I20" s="55"/>
      <c r="J20" s="57">
        <f>ROUNDUP(E20*0.75,2)</f>
        <v>3.75</v>
      </c>
      <c r="K20" s="57" t="s">
        <v>29</v>
      </c>
      <c r="L20" s="57" t="s">
        <v>55</v>
      </c>
      <c r="M20" s="57"/>
      <c r="N20" s="87">
        <f>M20</f>
        <v>0</v>
      </c>
      <c r="O20" s="75" t="s">
        <v>19</v>
      </c>
      <c r="P20" s="58" t="s">
        <v>50</v>
      </c>
      <c r="Q20" s="55"/>
      <c r="R20" s="59">
        <v>100</v>
      </c>
      <c r="S20" s="56">
        <f>ROUNDUP(R20*0.75,2)</f>
        <v>75</v>
      </c>
      <c r="T20" s="71"/>
    </row>
    <row r="21" spans="1:20" ht="18.75" customHeight="1" x14ac:dyDescent="0.15">
      <c r="A21" s="359"/>
      <c r="B21" s="75"/>
      <c r="C21" s="54" t="s">
        <v>41</v>
      </c>
      <c r="D21" s="55"/>
      <c r="E21" s="56">
        <v>0.5</v>
      </c>
      <c r="F21" s="57" t="s">
        <v>29</v>
      </c>
      <c r="G21" s="79" t="s">
        <v>42</v>
      </c>
      <c r="H21" s="83" t="s">
        <v>41</v>
      </c>
      <c r="I21" s="55"/>
      <c r="J21" s="57">
        <f>ROUNDUP(E21*0.75,2)</f>
        <v>0.38</v>
      </c>
      <c r="K21" s="57" t="s">
        <v>29</v>
      </c>
      <c r="L21" s="57" t="s">
        <v>42</v>
      </c>
      <c r="M21" s="57"/>
      <c r="N21" s="87">
        <f>M21</f>
        <v>0</v>
      </c>
      <c r="O21" s="75"/>
      <c r="P21" s="58" t="s">
        <v>120</v>
      </c>
      <c r="Q21" s="55"/>
      <c r="R21" s="59">
        <v>0.5</v>
      </c>
      <c r="S21" s="56">
        <f>ROUNDUP(R21*0.75,2)</f>
        <v>0.38</v>
      </c>
      <c r="T21" s="71"/>
    </row>
    <row r="22" spans="1:20" ht="18.75" customHeight="1" x14ac:dyDescent="0.15">
      <c r="A22" s="359"/>
      <c r="B22" s="75"/>
      <c r="C22" s="54"/>
      <c r="D22" s="55"/>
      <c r="E22" s="56"/>
      <c r="F22" s="57"/>
      <c r="G22" s="79"/>
      <c r="H22" s="83"/>
      <c r="I22" s="55"/>
      <c r="J22" s="57"/>
      <c r="K22" s="57"/>
      <c r="L22" s="57"/>
      <c r="M22" s="57"/>
      <c r="N22" s="87"/>
      <c r="O22" s="75"/>
      <c r="P22" s="58" t="s">
        <v>43</v>
      </c>
      <c r="Q22" s="55"/>
      <c r="R22" s="59">
        <v>0.1</v>
      </c>
      <c r="S22" s="56">
        <f>ROUNDUP(R22*0.75,2)</f>
        <v>0.08</v>
      </c>
      <c r="T22" s="71"/>
    </row>
    <row r="23" spans="1:20" ht="18.75" customHeight="1" thickBot="1" x14ac:dyDescent="0.2">
      <c r="A23" s="360"/>
      <c r="B23" s="76"/>
      <c r="C23" s="61"/>
      <c r="D23" s="62"/>
      <c r="E23" s="63"/>
      <c r="F23" s="64"/>
      <c r="G23" s="80"/>
      <c r="H23" s="84"/>
      <c r="I23" s="62"/>
      <c r="J23" s="64"/>
      <c r="K23" s="64"/>
      <c r="L23" s="64"/>
      <c r="M23" s="64"/>
      <c r="N23" s="88"/>
      <c r="O23" s="76"/>
      <c r="P23" s="65"/>
      <c r="Q23" s="62"/>
      <c r="R23" s="66"/>
      <c r="S23" s="63"/>
      <c r="T23" s="72"/>
    </row>
  </sheetData>
  <mergeCells count="4">
    <mergeCell ref="H1:O1"/>
    <mergeCell ref="A2:T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325</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324</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323</v>
      </c>
      <c r="C9" s="96" t="s">
        <v>58</v>
      </c>
      <c r="D9" s="96" t="s">
        <v>39</v>
      </c>
      <c r="E9" s="55"/>
      <c r="F9" s="121"/>
      <c r="G9" s="136"/>
      <c r="H9" s="116">
        <v>0.1</v>
      </c>
      <c r="I9" s="127" t="s">
        <v>322</v>
      </c>
      <c r="J9" s="96" t="s">
        <v>58</v>
      </c>
      <c r="K9" s="140">
        <v>0.1</v>
      </c>
      <c r="L9" s="136" t="s">
        <v>321</v>
      </c>
      <c r="M9" s="96" t="s">
        <v>58</v>
      </c>
      <c r="N9" s="116">
        <v>0.1</v>
      </c>
      <c r="O9" s="111" t="s">
        <v>39</v>
      </c>
    </row>
    <row r="10" spans="1:21" ht="20.100000000000001" customHeight="1" x14ac:dyDescent="0.15">
      <c r="A10" s="379"/>
      <c r="B10" s="96"/>
      <c r="C10" s="96" t="s">
        <v>108</v>
      </c>
      <c r="D10" s="96" t="s">
        <v>55</v>
      </c>
      <c r="E10" s="55"/>
      <c r="F10" s="121"/>
      <c r="G10" s="136"/>
      <c r="H10" s="115">
        <v>10</v>
      </c>
      <c r="I10" s="127"/>
      <c r="J10" s="98" t="s">
        <v>167</v>
      </c>
      <c r="K10" s="141">
        <v>5</v>
      </c>
      <c r="L10" s="135"/>
      <c r="M10" s="97"/>
      <c r="N10" s="114"/>
      <c r="O10" s="110"/>
    </row>
    <row r="11" spans="1:21" ht="20.100000000000001" customHeight="1" x14ac:dyDescent="0.15">
      <c r="A11" s="379"/>
      <c r="B11" s="96"/>
      <c r="C11" s="96" t="s">
        <v>60</v>
      </c>
      <c r="D11" s="96" t="s">
        <v>31</v>
      </c>
      <c r="E11" s="55"/>
      <c r="F11" s="121"/>
      <c r="G11" s="136"/>
      <c r="H11" s="115">
        <v>30</v>
      </c>
      <c r="I11" s="127"/>
      <c r="J11" s="96" t="s">
        <v>60</v>
      </c>
      <c r="K11" s="141">
        <v>30</v>
      </c>
      <c r="L11" s="136" t="s">
        <v>320</v>
      </c>
      <c r="M11" s="96" t="s">
        <v>60</v>
      </c>
      <c r="N11" s="115">
        <v>30</v>
      </c>
      <c r="O11" s="111" t="s">
        <v>31</v>
      </c>
    </row>
    <row r="12" spans="1:21" ht="20.100000000000001" customHeight="1" x14ac:dyDescent="0.15">
      <c r="A12" s="379"/>
      <c r="B12" s="96"/>
      <c r="C12" s="96" t="s">
        <v>115</v>
      </c>
      <c r="D12" s="96"/>
      <c r="E12" s="55"/>
      <c r="F12" s="121"/>
      <c r="G12" s="136"/>
      <c r="H12" s="115">
        <v>5</v>
      </c>
      <c r="I12" s="127"/>
      <c r="J12" s="96" t="s">
        <v>115</v>
      </c>
      <c r="K12" s="141">
        <v>5</v>
      </c>
      <c r="L12" s="136"/>
      <c r="M12" s="96"/>
      <c r="N12" s="115"/>
      <c r="O12" s="111"/>
    </row>
    <row r="13" spans="1:21" ht="20.100000000000001" customHeight="1" x14ac:dyDescent="0.15">
      <c r="A13" s="379"/>
      <c r="B13" s="96"/>
      <c r="C13" s="96" t="s">
        <v>110</v>
      </c>
      <c r="D13" s="96"/>
      <c r="E13" s="55"/>
      <c r="F13" s="121"/>
      <c r="G13" s="136"/>
      <c r="H13" s="115">
        <v>5</v>
      </c>
      <c r="I13" s="127"/>
      <c r="J13" s="96"/>
      <c r="K13" s="141"/>
      <c r="L13" s="136"/>
      <c r="M13" s="96"/>
      <c r="N13" s="115"/>
      <c r="O13" s="111"/>
    </row>
    <row r="14" spans="1:21" ht="20.100000000000001" customHeight="1" x14ac:dyDescent="0.15">
      <c r="A14" s="379"/>
      <c r="B14" s="96"/>
      <c r="C14" s="96"/>
      <c r="D14" s="96"/>
      <c r="E14" s="55"/>
      <c r="F14" s="121"/>
      <c r="G14" s="136" t="s">
        <v>23</v>
      </c>
      <c r="H14" s="115" t="s">
        <v>292</v>
      </c>
      <c r="I14" s="127"/>
      <c r="J14" s="96"/>
      <c r="K14" s="141"/>
      <c r="L14" s="136"/>
      <c r="M14" s="96"/>
      <c r="N14" s="115"/>
      <c r="O14" s="111"/>
    </row>
    <row r="15" spans="1:21" ht="20.100000000000001" customHeight="1" x14ac:dyDescent="0.15">
      <c r="A15" s="379"/>
      <c r="B15" s="96"/>
      <c r="C15" s="96"/>
      <c r="D15" s="96"/>
      <c r="E15" s="55"/>
      <c r="F15" s="121" t="s">
        <v>26</v>
      </c>
      <c r="G15" s="136" t="s">
        <v>25</v>
      </c>
      <c r="H15" s="115" t="s">
        <v>294</v>
      </c>
      <c r="I15" s="127"/>
      <c r="J15" s="96"/>
      <c r="K15" s="141"/>
      <c r="L15" s="136"/>
      <c r="M15" s="96"/>
      <c r="N15" s="115"/>
      <c r="O15" s="111"/>
    </row>
    <row r="16" spans="1:21" ht="20.100000000000001" customHeight="1" x14ac:dyDescent="0.15">
      <c r="A16" s="379"/>
      <c r="B16" s="96"/>
      <c r="C16" s="96"/>
      <c r="D16" s="96"/>
      <c r="E16" s="55"/>
      <c r="F16" s="121"/>
      <c r="G16" s="136" t="s">
        <v>24</v>
      </c>
      <c r="H16" s="115" t="s">
        <v>294</v>
      </c>
      <c r="I16" s="127"/>
      <c r="J16" s="96"/>
      <c r="K16" s="141"/>
      <c r="L16" s="136"/>
      <c r="M16" s="96"/>
      <c r="N16" s="115"/>
      <c r="O16" s="111"/>
    </row>
    <row r="17" spans="1:15" ht="20.100000000000001" customHeight="1" x14ac:dyDescent="0.15">
      <c r="A17" s="379"/>
      <c r="B17" s="96"/>
      <c r="C17" s="96"/>
      <c r="D17" s="96"/>
      <c r="E17" s="55"/>
      <c r="F17" s="121"/>
      <c r="G17" s="136" t="s">
        <v>21</v>
      </c>
      <c r="H17" s="115" t="s">
        <v>294</v>
      </c>
      <c r="I17" s="126"/>
      <c r="J17" s="97"/>
      <c r="K17" s="139"/>
      <c r="L17" s="136"/>
      <c r="M17" s="96"/>
      <c r="N17" s="115"/>
      <c r="O17" s="111"/>
    </row>
    <row r="18" spans="1:15" ht="20.100000000000001" customHeight="1" x14ac:dyDescent="0.15">
      <c r="A18" s="379"/>
      <c r="B18" s="97"/>
      <c r="C18" s="97"/>
      <c r="D18" s="97"/>
      <c r="E18" s="49"/>
      <c r="F18" s="120"/>
      <c r="G18" s="135"/>
      <c r="H18" s="114"/>
      <c r="I18" s="127" t="s">
        <v>87</v>
      </c>
      <c r="J18" s="96" t="s">
        <v>41</v>
      </c>
      <c r="K18" s="141">
        <v>0.5</v>
      </c>
      <c r="L18" s="136"/>
      <c r="M18" s="96"/>
      <c r="N18" s="115"/>
      <c r="O18" s="111"/>
    </row>
    <row r="19" spans="1:15" ht="20.100000000000001" customHeight="1" x14ac:dyDescent="0.15">
      <c r="A19" s="379"/>
      <c r="B19" s="96" t="s">
        <v>87</v>
      </c>
      <c r="C19" s="96" t="s">
        <v>41</v>
      </c>
      <c r="D19" s="96" t="s">
        <v>42</v>
      </c>
      <c r="E19" s="55"/>
      <c r="F19" s="122"/>
      <c r="G19" s="136"/>
      <c r="H19" s="115">
        <v>0.5</v>
      </c>
      <c r="I19" s="127"/>
      <c r="J19" s="96"/>
      <c r="K19" s="141"/>
      <c r="L19" s="136"/>
      <c r="M19" s="96"/>
      <c r="N19" s="115"/>
      <c r="O19" s="111"/>
    </row>
    <row r="20" spans="1:15" ht="20.100000000000001" customHeight="1" x14ac:dyDescent="0.15">
      <c r="A20" s="379"/>
      <c r="B20" s="96"/>
      <c r="C20" s="96"/>
      <c r="D20" s="96"/>
      <c r="E20" s="55"/>
      <c r="F20" s="121"/>
      <c r="G20" s="136" t="s">
        <v>50</v>
      </c>
      <c r="H20" s="115" t="s">
        <v>292</v>
      </c>
      <c r="I20" s="127"/>
      <c r="J20" s="96"/>
      <c r="K20" s="141"/>
      <c r="L20" s="136"/>
      <c r="M20" s="96"/>
      <c r="N20" s="115"/>
      <c r="O20" s="111"/>
    </row>
    <row r="21" spans="1:15" ht="20.100000000000001" customHeight="1" thickBot="1" x14ac:dyDescent="0.2">
      <c r="A21" s="380"/>
      <c r="B21" s="95"/>
      <c r="C21" s="95"/>
      <c r="D21" s="95"/>
      <c r="E21" s="62"/>
      <c r="F21" s="123"/>
      <c r="G21" s="137"/>
      <c r="H21" s="117"/>
      <c r="I21" s="128"/>
      <c r="J21" s="95"/>
      <c r="K21" s="142"/>
      <c r="L21" s="137"/>
      <c r="M21" s="95"/>
      <c r="N21" s="117"/>
      <c r="O21" s="112"/>
    </row>
    <row r="22" spans="1:15" ht="14.25" x14ac:dyDescent="0.15">
      <c r="B22" s="94"/>
      <c r="C22" s="94"/>
      <c r="D22" s="94"/>
      <c r="G22" s="94"/>
      <c r="H22" s="93"/>
      <c r="I22" s="94"/>
      <c r="J22" s="94"/>
      <c r="K22" s="93"/>
      <c r="L22" s="94"/>
      <c r="M22" s="94"/>
      <c r="N22" s="93"/>
    </row>
    <row r="23" spans="1:15" ht="14.25" x14ac:dyDescent="0.15">
      <c r="B23" s="94"/>
      <c r="C23" s="94"/>
      <c r="D23" s="94"/>
      <c r="G23" s="94"/>
      <c r="H23" s="93"/>
      <c r="I23" s="94"/>
      <c r="J23" s="94"/>
      <c r="K23" s="93"/>
      <c r="L23" s="94"/>
      <c r="M23" s="94"/>
      <c r="N23" s="93"/>
    </row>
    <row r="24" spans="1:15" ht="14.25" x14ac:dyDescent="0.15">
      <c r="B24" s="94"/>
      <c r="C24" s="94"/>
      <c r="D24" s="94"/>
      <c r="G24" s="94"/>
      <c r="H24" s="93"/>
      <c r="I24" s="94"/>
      <c r="J24" s="94"/>
      <c r="K24" s="93"/>
      <c r="L24" s="94"/>
      <c r="M24" s="94"/>
      <c r="N24" s="93"/>
    </row>
    <row r="25" spans="1:15" ht="14.25" x14ac:dyDescent="0.15">
      <c r="B25" s="94"/>
      <c r="C25" s="94"/>
      <c r="D25" s="94"/>
      <c r="G25" s="94"/>
      <c r="H25" s="93"/>
      <c r="I25" s="94"/>
      <c r="J25" s="94"/>
      <c r="K25" s="93"/>
      <c r="L25" s="94"/>
      <c r="M25" s="94"/>
      <c r="N25" s="93"/>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3">
    <mergeCell ref="A7:A21"/>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126</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94</v>
      </c>
      <c r="C5" s="42" t="s">
        <v>127</v>
      </c>
      <c r="D5" s="43" t="s">
        <v>128</v>
      </c>
      <c r="E5" s="90">
        <v>0.5</v>
      </c>
      <c r="F5" s="45" t="s">
        <v>56</v>
      </c>
      <c r="G5" s="77" t="s">
        <v>39</v>
      </c>
      <c r="H5" s="81" t="s">
        <v>127</v>
      </c>
      <c r="I5" s="43" t="s">
        <v>129</v>
      </c>
      <c r="J5" s="45">
        <f>ROUNDUP(E5*0.75,2)</f>
        <v>0.38</v>
      </c>
      <c r="K5" s="45" t="s">
        <v>56</v>
      </c>
      <c r="L5" s="45" t="s">
        <v>39</v>
      </c>
      <c r="M5" s="45"/>
      <c r="N5" s="85">
        <f>M5</f>
        <v>0</v>
      </c>
      <c r="O5" s="73"/>
      <c r="P5" s="46" t="s">
        <v>18</v>
      </c>
      <c r="Q5" s="43"/>
      <c r="R5" s="47">
        <v>110</v>
      </c>
      <c r="S5" s="44">
        <f>ROUNDUP(R5*0.75,2)</f>
        <v>82.5</v>
      </c>
      <c r="T5" s="69"/>
    </row>
    <row r="6" spans="1:21" ht="18.75" customHeight="1" x14ac:dyDescent="0.15">
      <c r="A6" s="359"/>
      <c r="B6" s="74"/>
      <c r="C6" s="48"/>
      <c r="D6" s="49"/>
      <c r="E6" s="50"/>
      <c r="F6" s="51"/>
      <c r="G6" s="78"/>
      <c r="H6" s="82"/>
      <c r="I6" s="49"/>
      <c r="J6" s="51"/>
      <c r="K6" s="51"/>
      <c r="L6" s="51"/>
      <c r="M6" s="51"/>
      <c r="N6" s="86"/>
      <c r="O6" s="74"/>
      <c r="P6" s="52"/>
      <c r="Q6" s="49"/>
      <c r="R6" s="53"/>
      <c r="S6" s="50"/>
      <c r="T6" s="70"/>
    </row>
    <row r="7" spans="1:21" ht="18.75" customHeight="1" x14ac:dyDescent="0.15">
      <c r="A7" s="359"/>
      <c r="B7" s="75" t="s">
        <v>130</v>
      </c>
      <c r="C7" s="54" t="s">
        <v>134</v>
      </c>
      <c r="D7" s="55"/>
      <c r="E7" s="56">
        <v>1</v>
      </c>
      <c r="F7" s="57" t="s">
        <v>20</v>
      </c>
      <c r="G7" s="79" t="s">
        <v>135</v>
      </c>
      <c r="H7" s="83" t="s">
        <v>134</v>
      </c>
      <c r="I7" s="55"/>
      <c r="J7" s="57">
        <f>ROUNDUP(E7*0.75,2)</f>
        <v>0.75</v>
      </c>
      <c r="K7" s="57" t="s">
        <v>20</v>
      </c>
      <c r="L7" s="57" t="s">
        <v>135</v>
      </c>
      <c r="M7" s="57"/>
      <c r="N7" s="87">
        <f>M7</f>
        <v>0</v>
      </c>
      <c r="O7" s="75" t="s">
        <v>131</v>
      </c>
      <c r="P7" s="58" t="s">
        <v>37</v>
      </c>
      <c r="Q7" s="55"/>
      <c r="R7" s="59">
        <v>0.5</v>
      </c>
      <c r="S7" s="56">
        <f t="shared" ref="S7:S16" si="0">ROUNDUP(R7*0.75,2)</f>
        <v>0.38</v>
      </c>
      <c r="T7" s="71"/>
    </row>
    <row r="8" spans="1:21" ht="18.75" customHeight="1" x14ac:dyDescent="0.15">
      <c r="A8" s="359"/>
      <c r="B8" s="75"/>
      <c r="C8" s="54" t="s">
        <v>83</v>
      </c>
      <c r="D8" s="55"/>
      <c r="E8" s="56">
        <v>20</v>
      </c>
      <c r="F8" s="57" t="s">
        <v>29</v>
      </c>
      <c r="G8" s="79"/>
      <c r="H8" s="83" t="s">
        <v>83</v>
      </c>
      <c r="I8" s="55"/>
      <c r="J8" s="57">
        <f>ROUNDUP(E8*0.75,2)</f>
        <v>15</v>
      </c>
      <c r="K8" s="57" t="s">
        <v>29</v>
      </c>
      <c r="L8" s="57"/>
      <c r="M8" s="57"/>
      <c r="N8" s="87">
        <f>ROUND(M8+(M8*15/100),2)</f>
        <v>0</v>
      </c>
      <c r="O8" s="75" t="s">
        <v>132</v>
      </c>
      <c r="P8" s="58" t="s">
        <v>121</v>
      </c>
      <c r="Q8" s="55" t="s">
        <v>26</v>
      </c>
      <c r="R8" s="59">
        <v>3</v>
      </c>
      <c r="S8" s="56">
        <f t="shared" si="0"/>
        <v>2.25</v>
      </c>
      <c r="T8" s="71"/>
    </row>
    <row r="9" spans="1:21" ht="18.75" customHeight="1" x14ac:dyDescent="0.15">
      <c r="A9" s="359"/>
      <c r="B9" s="75"/>
      <c r="C9" s="54" t="s">
        <v>136</v>
      </c>
      <c r="D9" s="55"/>
      <c r="E9" s="56">
        <v>5</v>
      </c>
      <c r="F9" s="57" t="s">
        <v>29</v>
      </c>
      <c r="G9" s="79"/>
      <c r="H9" s="83" t="s">
        <v>136</v>
      </c>
      <c r="I9" s="55"/>
      <c r="J9" s="57">
        <f>ROUNDUP(E9*0.75,2)</f>
        <v>3.75</v>
      </c>
      <c r="K9" s="57" t="s">
        <v>29</v>
      </c>
      <c r="L9" s="57"/>
      <c r="M9" s="57"/>
      <c r="N9" s="87">
        <f>ROUND(M9+(M9*15/100),2)</f>
        <v>0</v>
      </c>
      <c r="O9" s="75" t="s">
        <v>133</v>
      </c>
      <c r="P9" s="58" t="s">
        <v>76</v>
      </c>
      <c r="Q9" s="55" t="s">
        <v>49</v>
      </c>
      <c r="R9" s="59">
        <v>2</v>
      </c>
      <c r="S9" s="56">
        <f t="shared" si="0"/>
        <v>1.5</v>
      </c>
      <c r="T9" s="71"/>
    </row>
    <row r="10" spans="1:21" ht="18.75" customHeight="1" x14ac:dyDescent="0.15">
      <c r="A10" s="359"/>
      <c r="B10" s="75"/>
      <c r="C10" s="54" t="s">
        <v>137</v>
      </c>
      <c r="D10" s="55"/>
      <c r="E10" s="56">
        <v>5</v>
      </c>
      <c r="F10" s="57" t="s">
        <v>29</v>
      </c>
      <c r="G10" s="79" t="s">
        <v>138</v>
      </c>
      <c r="H10" s="83" t="s">
        <v>137</v>
      </c>
      <c r="I10" s="55"/>
      <c r="J10" s="57">
        <f>ROUNDUP(E10*0.75,2)</f>
        <v>3.75</v>
      </c>
      <c r="K10" s="57" t="s">
        <v>29</v>
      </c>
      <c r="L10" s="57" t="s">
        <v>138</v>
      </c>
      <c r="M10" s="57"/>
      <c r="N10" s="87">
        <f>M10</f>
        <v>0</v>
      </c>
      <c r="O10" s="75" t="s">
        <v>54</v>
      </c>
      <c r="P10" s="58" t="s">
        <v>50</v>
      </c>
      <c r="Q10" s="55"/>
      <c r="R10" s="59">
        <v>5</v>
      </c>
      <c r="S10" s="56">
        <f t="shared" si="0"/>
        <v>3.75</v>
      </c>
      <c r="T10" s="71"/>
    </row>
    <row r="11" spans="1:21" ht="18.75" customHeight="1" x14ac:dyDescent="0.15">
      <c r="A11" s="359"/>
      <c r="B11" s="75"/>
      <c r="C11" s="54"/>
      <c r="D11" s="55"/>
      <c r="E11" s="56"/>
      <c r="F11" s="57"/>
      <c r="G11" s="79"/>
      <c r="H11" s="83"/>
      <c r="I11" s="55"/>
      <c r="J11" s="57"/>
      <c r="K11" s="57"/>
      <c r="L11" s="57"/>
      <c r="M11" s="57"/>
      <c r="N11" s="87"/>
      <c r="O11" s="75"/>
      <c r="P11" s="58" t="s">
        <v>24</v>
      </c>
      <c r="Q11" s="55"/>
      <c r="R11" s="59">
        <v>1</v>
      </c>
      <c r="S11" s="56">
        <f t="shared" si="0"/>
        <v>0.75</v>
      </c>
      <c r="T11" s="71"/>
    </row>
    <row r="12" spans="1:21" ht="18.75" customHeight="1" x14ac:dyDescent="0.15">
      <c r="A12" s="359"/>
      <c r="B12" s="75"/>
      <c r="C12" s="54"/>
      <c r="D12" s="55"/>
      <c r="E12" s="56"/>
      <c r="F12" s="57"/>
      <c r="G12" s="79"/>
      <c r="H12" s="83"/>
      <c r="I12" s="55"/>
      <c r="J12" s="57"/>
      <c r="K12" s="57"/>
      <c r="L12" s="57"/>
      <c r="M12" s="57"/>
      <c r="N12" s="87"/>
      <c r="O12" s="75"/>
      <c r="P12" s="58" t="s">
        <v>25</v>
      </c>
      <c r="Q12" s="55" t="s">
        <v>26</v>
      </c>
      <c r="R12" s="59">
        <v>2</v>
      </c>
      <c r="S12" s="56">
        <f t="shared" si="0"/>
        <v>1.5</v>
      </c>
      <c r="T12" s="71"/>
    </row>
    <row r="13" spans="1:21" ht="18.75" customHeight="1" x14ac:dyDescent="0.15">
      <c r="A13" s="359"/>
      <c r="B13" s="75"/>
      <c r="C13" s="54"/>
      <c r="D13" s="55"/>
      <c r="E13" s="56"/>
      <c r="F13" s="57"/>
      <c r="G13" s="79"/>
      <c r="H13" s="83"/>
      <c r="I13" s="55"/>
      <c r="J13" s="57"/>
      <c r="K13" s="57"/>
      <c r="L13" s="57"/>
      <c r="M13" s="57"/>
      <c r="N13" s="87"/>
      <c r="O13" s="75"/>
      <c r="P13" s="58" t="s">
        <v>27</v>
      </c>
      <c r="Q13" s="55"/>
      <c r="R13" s="59">
        <v>1</v>
      </c>
      <c r="S13" s="56">
        <f t="shared" si="0"/>
        <v>0.75</v>
      </c>
      <c r="T13" s="71"/>
    </row>
    <row r="14" spans="1:21" ht="18.75" customHeight="1" x14ac:dyDescent="0.15">
      <c r="A14" s="359"/>
      <c r="B14" s="75"/>
      <c r="C14" s="54"/>
      <c r="D14" s="55"/>
      <c r="E14" s="56"/>
      <c r="F14" s="57"/>
      <c r="G14" s="79"/>
      <c r="H14" s="83"/>
      <c r="I14" s="55"/>
      <c r="J14" s="57"/>
      <c r="K14" s="57"/>
      <c r="L14" s="57"/>
      <c r="M14" s="57"/>
      <c r="N14" s="87"/>
      <c r="O14" s="75"/>
      <c r="P14" s="58" t="s">
        <v>22</v>
      </c>
      <c r="Q14" s="55"/>
      <c r="R14" s="59">
        <v>1</v>
      </c>
      <c r="S14" s="56">
        <f t="shared" si="0"/>
        <v>0.75</v>
      </c>
      <c r="T14" s="71"/>
    </row>
    <row r="15" spans="1:21" ht="18.75" customHeight="1" x14ac:dyDescent="0.15">
      <c r="A15" s="359"/>
      <c r="B15" s="75"/>
      <c r="C15" s="54"/>
      <c r="D15" s="55"/>
      <c r="E15" s="56"/>
      <c r="F15" s="57"/>
      <c r="G15" s="79"/>
      <c r="H15" s="83"/>
      <c r="I15" s="55"/>
      <c r="J15" s="57"/>
      <c r="K15" s="57"/>
      <c r="L15" s="57"/>
      <c r="M15" s="57"/>
      <c r="N15" s="87"/>
      <c r="O15" s="75"/>
      <c r="P15" s="58" t="s">
        <v>43</v>
      </c>
      <c r="Q15" s="55"/>
      <c r="R15" s="59">
        <v>0.1</v>
      </c>
      <c r="S15" s="56">
        <f t="shared" si="0"/>
        <v>0.08</v>
      </c>
      <c r="T15" s="71"/>
    </row>
    <row r="16" spans="1:21" ht="18.75" customHeight="1" x14ac:dyDescent="0.15">
      <c r="A16" s="359"/>
      <c r="B16" s="75"/>
      <c r="C16" s="54"/>
      <c r="D16" s="55"/>
      <c r="E16" s="56"/>
      <c r="F16" s="57"/>
      <c r="G16" s="79"/>
      <c r="H16" s="83"/>
      <c r="I16" s="55"/>
      <c r="J16" s="57"/>
      <c r="K16" s="57"/>
      <c r="L16" s="57"/>
      <c r="M16" s="57"/>
      <c r="N16" s="87"/>
      <c r="O16" s="75"/>
      <c r="P16" s="58" t="s">
        <v>78</v>
      </c>
      <c r="Q16" s="55"/>
      <c r="R16" s="59">
        <v>0.01</v>
      </c>
      <c r="S16" s="56">
        <f t="shared" si="0"/>
        <v>0.01</v>
      </c>
      <c r="T16" s="71"/>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139</v>
      </c>
      <c r="C18" s="54" t="s">
        <v>124</v>
      </c>
      <c r="D18" s="55"/>
      <c r="E18" s="56">
        <v>30</v>
      </c>
      <c r="F18" s="57" t="s">
        <v>29</v>
      </c>
      <c r="G18" s="79"/>
      <c r="H18" s="83" t="s">
        <v>124</v>
      </c>
      <c r="I18" s="55"/>
      <c r="J18" s="57">
        <f>ROUNDUP(E18*0.75,2)</f>
        <v>22.5</v>
      </c>
      <c r="K18" s="57" t="s">
        <v>29</v>
      </c>
      <c r="L18" s="57"/>
      <c r="M18" s="57"/>
      <c r="N18" s="87">
        <f>ROUND(M18+(M18*10/100),2)</f>
        <v>0</v>
      </c>
      <c r="O18" s="75" t="s">
        <v>140</v>
      </c>
      <c r="P18" s="58" t="s">
        <v>24</v>
      </c>
      <c r="Q18" s="55"/>
      <c r="R18" s="59">
        <v>1</v>
      </c>
      <c r="S18" s="56">
        <f>ROUNDUP(R18*0.75,2)</f>
        <v>0.75</v>
      </c>
      <c r="T18" s="71"/>
    </row>
    <row r="19" spans="1:20" ht="18.75" customHeight="1" x14ac:dyDescent="0.15">
      <c r="A19" s="359"/>
      <c r="B19" s="75"/>
      <c r="C19" s="54" t="s">
        <v>84</v>
      </c>
      <c r="D19" s="55"/>
      <c r="E19" s="56">
        <v>10</v>
      </c>
      <c r="F19" s="57" t="s">
        <v>29</v>
      </c>
      <c r="G19" s="79"/>
      <c r="H19" s="83" t="s">
        <v>84</v>
      </c>
      <c r="I19" s="55"/>
      <c r="J19" s="57">
        <f>ROUNDUP(E19*0.75,2)</f>
        <v>7.5</v>
      </c>
      <c r="K19" s="57" t="s">
        <v>29</v>
      </c>
      <c r="L19" s="57"/>
      <c r="M19" s="57"/>
      <c r="N19" s="87">
        <f>ROUND(M19+(M19*2/100),2)</f>
        <v>0</v>
      </c>
      <c r="O19" s="75" t="s">
        <v>141</v>
      </c>
      <c r="P19" s="58" t="s">
        <v>25</v>
      </c>
      <c r="Q19" s="55" t="s">
        <v>26</v>
      </c>
      <c r="R19" s="59">
        <v>0.5</v>
      </c>
      <c r="S19" s="56">
        <f>ROUNDUP(R19*0.75,2)</f>
        <v>0.38</v>
      </c>
      <c r="T19" s="71"/>
    </row>
    <row r="20" spans="1:20" ht="18.75" customHeight="1" x14ac:dyDescent="0.15">
      <c r="A20" s="359"/>
      <c r="B20" s="75"/>
      <c r="C20" s="54" t="s">
        <v>61</v>
      </c>
      <c r="D20" s="55"/>
      <c r="E20" s="56">
        <v>5</v>
      </c>
      <c r="F20" s="57" t="s">
        <v>29</v>
      </c>
      <c r="G20" s="79"/>
      <c r="H20" s="83" t="s">
        <v>61</v>
      </c>
      <c r="I20" s="55"/>
      <c r="J20" s="57">
        <f>ROUNDUP(E20*0.75,2)</f>
        <v>3.75</v>
      </c>
      <c r="K20" s="57" t="s">
        <v>29</v>
      </c>
      <c r="L20" s="57"/>
      <c r="M20" s="57"/>
      <c r="N20" s="87">
        <f>ROUND(M20+(M20*3/100),2)</f>
        <v>0</v>
      </c>
      <c r="O20" s="75" t="s">
        <v>54</v>
      </c>
      <c r="P20" s="58" t="s">
        <v>57</v>
      </c>
      <c r="Q20" s="55"/>
      <c r="R20" s="59">
        <v>2</v>
      </c>
      <c r="S20" s="56">
        <f>ROUNDUP(R20*0.75,2)</f>
        <v>1.5</v>
      </c>
      <c r="T20" s="71"/>
    </row>
    <row r="21" spans="1:20" ht="18.75" customHeight="1" x14ac:dyDescent="0.15">
      <c r="A21" s="359"/>
      <c r="B21" s="75"/>
      <c r="C21" s="54"/>
      <c r="D21" s="55"/>
      <c r="E21" s="56"/>
      <c r="F21" s="57"/>
      <c r="G21" s="79"/>
      <c r="H21" s="83"/>
      <c r="I21" s="55"/>
      <c r="J21" s="57"/>
      <c r="K21" s="57"/>
      <c r="L21" s="57"/>
      <c r="M21" s="57"/>
      <c r="N21" s="87"/>
      <c r="O21" s="75"/>
      <c r="P21" s="58" t="s">
        <v>62</v>
      </c>
      <c r="Q21" s="55"/>
      <c r="R21" s="59">
        <v>2</v>
      </c>
      <c r="S21" s="56">
        <f>ROUNDUP(R21*0.75,2)</f>
        <v>1.5</v>
      </c>
      <c r="T21" s="71"/>
    </row>
    <row r="22" spans="1:20" ht="18.75" customHeight="1" x14ac:dyDescent="0.15">
      <c r="A22" s="359"/>
      <c r="B22" s="74"/>
      <c r="C22" s="48"/>
      <c r="D22" s="49"/>
      <c r="E22" s="50"/>
      <c r="F22" s="51"/>
      <c r="G22" s="78"/>
      <c r="H22" s="82"/>
      <c r="I22" s="49"/>
      <c r="J22" s="51"/>
      <c r="K22" s="51"/>
      <c r="L22" s="51"/>
      <c r="M22" s="51"/>
      <c r="N22" s="86"/>
      <c r="O22" s="74"/>
      <c r="P22" s="52"/>
      <c r="Q22" s="49"/>
      <c r="R22" s="53"/>
      <c r="S22" s="50"/>
      <c r="T22" s="70"/>
    </row>
    <row r="23" spans="1:20" ht="18.75" customHeight="1" x14ac:dyDescent="0.15">
      <c r="A23" s="359"/>
      <c r="B23" s="75" t="s">
        <v>38</v>
      </c>
      <c r="C23" s="54" t="s">
        <v>101</v>
      </c>
      <c r="D23" s="55"/>
      <c r="E23" s="56">
        <v>3</v>
      </c>
      <c r="F23" s="57" t="s">
        <v>29</v>
      </c>
      <c r="G23" s="79" t="s">
        <v>39</v>
      </c>
      <c r="H23" s="83" t="s">
        <v>101</v>
      </c>
      <c r="I23" s="55"/>
      <c r="J23" s="57">
        <f>ROUNDUP(E23*0.75,2)</f>
        <v>2.25</v>
      </c>
      <c r="K23" s="57" t="s">
        <v>29</v>
      </c>
      <c r="L23" s="57" t="s">
        <v>39</v>
      </c>
      <c r="M23" s="57"/>
      <c r="N23" s="87">
        <f>M23</f>
        <v>0</v>
      </c>
      <c r="O23" s="75" t="s">
        <v>19</v>
      </c>
      <c r="P23" s="58" t="s">
        <v>23</v>
      </c>
      <c r="Q23" s="55"/>
      <c r="R23" s="59">
        <v>100</v>
      </c>
      <c r="S23" s="56">
        <f>ROUNDUP(R23*0.75,2)</f>
        <v>75</v>
      </c>
      <c r="T23" s="71"/>
    </row>
    <row r="24" spans="1:20" ht="18.75" customHeight="1" x14ac:dyDescent="0.15">
      <c r="A24" s="359"/>
      <c r="B24" s="75"/>
      <c r="C24" s="54" t="s">
        <v>35</v>
      </c>
      <c r="D24" s="55" t="s">
        <v>36</v>
      </c>
      <c r="E24" s="67">
        <v>0.25</v>
      </c>
      <c r="F24" s="57" t="s">
        <v>32</v>
      </c>
      <c r="G24" s="79"/>
      <c r="H24" s="83" t="s">
        <v>35</v>
      </c>
      <c r="I24" s="55" t="s">
        <v>36</v>
      </c>
      <c r="J24" s="57">
        <f>ROUNDUP(E24*0.75,2)</f>
        <v>0.19</v>
      </c>
      <c r="K24" s="57" t="s">
        <v>32</v>
      </c>
      <c r="L24" s="57"/>
      <c r="M24" s="57"/>
      <c r="N24" s="87">
        <f>M24</f>
        <v>0</v>
      </c>
      <c r="O24" s="75"/>
      <c r="P24" s="58" t="s">
        <v>43</v>
      </c>
      <c r="Q24" s="55"/>
      <c r="R24" s="59">
        <v>0.1</v>
      </c>
      <c r="S24" s="56">
        <f>ROUNDUP(R24*0.75,2)</f>
        <v>0.08</v>
      </c>
      <c r="T24" s="71"/>
    </row>
    <row r="25" spans="1:20" ht="18.75" customHeight="1" x14ac:dyDescent="0.15">
      <c r="A25" s="359"/>
      <c r="B25" s="75"/>
      <c r="C25" s="54"/>
      <c r="D25" s="55"/>
      <c r="E25" s="56"/>
      <c r="F25" s="57"/>
      <c r="G25" s="79"/>
      <c r="H25" s="83"/>
      <c r="I25" s="55"/>
      <c r="J25" s="57"/>
      <c r="K25" s="57"/>
      <c r="L25" s="57"/>
      <c r="M25" s="57"/>
      <c r="N25" s="87"/>
      <c r="O25" s="75"/>
      <c r="P25" s="58" t="s">
        <v>25</v>
      </c>
      <c r="Q25" s="55" t="s">
        <v>26</v>
      </c>
      <c r="R25" s="59">
        <v>0.5</v>
      </c>
      <c r="S25" s="56">
        <f>ROUNDUP(R25*0.75,2)</f>
        <v>0.38</v>
      </c>
      <c r="T25" s="71" t="e">
        <f>ROUNDUP((#REF!*R25)+(#REF!*S25)+(#REF!*(R25*2)),2)</f>
        <v>#REF!</v>
      </c>
    </row>
    <row r="26" spans="1:20" ht="18.75" customHeight="1" x14ac:dyDescent="0.15">
      <c r="A26" s="359"/>
      <c r="B26" s="74"/>
      <c r="C26" s="48"/>
      <c r="D26" s="49"/>
      <c r="E26" s="50"/>
      <c r="F26" s="51"/>
      <c r="G26" s="78"/>
      <c r="H26" s="82"/>
      <c r="I26" s="49"/>
      <c r="J26" s="51"/>
      <c r="K26" s="51"/>
      <c r="L26" s="51"/>
      <c r="M26" s="51"/>
      <c r="N26" s="86"/>
      <c r="O26" s="74"/>
      <c r="P26" s="52"/>
      <c r="Q26" s="49"/>
      <c r="R26" s="53"/>
      <c r="S26" s="50"/>
      <c r="T26" s="70"/>
    </row>
    <row r="27" spans="1:20" ht="18.75" customHeight="1" x14ac:dyDescent="0.15">
      <c r="A27" s="359"/>
      <c r="B27" s="75" t="s">
        <v>142</v>
      </c>
      <c r="C27" s="54" t="s">
        <v>143</v>
      </c>
      <c r="D27" s="55"/>
      <c r="E27" s="91">
        <v>0.125</v>
      </c>
      <c r="F27" s="57" t="s">
        <v>32</v>
      </c>
      <c r="G27" s="79"/>
      <c r="H27" s="83" t="s">
        <v>143</v>
      </c>
      <c r="I27" s="55"/>
      <c r="J27" s="57">
        <f>ROUNDUP(E27*0.75,2)</f>
        <v>9.9999999999999992E-2</v>
      </c>
      <c r="K27" s="57" t="s">
        <v>32</v>
      </c>
      <c r="L27" s="57"/>
      <c r="M27" s="57"/>
      <c r="N27" s="87">
        <f>M27</f>
        <v>0</v>
      </c>
      <c r="O27" s="75" t="s">
        <v>92</v>
      </c>
      <c r="P27" s="58"/>
      <c r="Q27" s="55"/>
      <c r="R27" s="59"/>
      <c r="S27" s="56"/>
      <c r="T27" s="71"/>
    </row>
    <row r="28" spans="1:20" ht="18.75" customHeight="1" thickBot="1" x14ac:dyDescent="0.2">
      <c r="A28" s="360"/>
      <c r="B28" s="76"/>
      <c r="C28" s="61"/>
      <c r="D28" s="62"/>
      <c r="E28" s="63"/>
      <c r="F28" s="64"/>
      <c r="G28" s="80"/>
      <c r="H28" s="84"/>
      <c r="I28" s="62"/>
      <c r="J28" s="64"/>
      <c r="K28" s="64"/>
      <c r="L28" s="64"/>
      <c r="M28" s="64"/>
      <c r="N28" s="88"/>
      <c r="O28" s="76"/>
      <c r="P28" s="65"/>
      <c r="Q28" s="62"/>
      <c r="R28" s="66"/>
      <c r="S28" s="63"/>
      <c r="T28" s="72"/>
    </row>
  </sheetData>
  <mergeCells count="4">
    <mergeCell ref="H1:O1"/>
    <mergeCell ref="A2:T2"/>
    <mergeCell ref="A3:F3"/>
    <mergeCell ref="A5:A28"/>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319</v>
      </c>
      <c r="B1" s="5"/>
      <c r="C1" s="1"/>
      <c r="D1" s="1"/>
      <c r="E1" s="361"/>
      <c r="F1" s="362"/>
      <c r="G1" s="362"/>
      <c r="H1" s="362"/>
      <c r="I1" s="362"/>
      <c r="J1" s="362"/>
      <c r="K1" s="362"/>
      <c r="L1" s="362"/>
      <c r="M1" s="362"/>
      <c r="N1" s="362"/>
      <c r="O1"/>
      <c r="P1"/>
      <c r="Q1"/>
      <c r="R1"/>
      <c r="S1"/>
      <c r="T1"/>
      <c r="U1"/>
    </row>
    <row r="2" spans="1:21" s="3" customFormat="1" ht="36" customHeight="1" x14ac:dyDescent="0.15">
      <c r="A2" s="354" t="s">
        <v>0</v>
      </c>
      <c r="B2" s="355"/>
      <c r="C2" s="355"/>
      <c r="D2" s="355"/>
      <c r="E2" s="355"/>
      <c r="F2" s="355"/>
      <c r="G2" s="355"/>
      <c r="H2" s="355"/>
      <c r="I2" s="355"/>
      <c r="J2" s="355"/>
      <c r="K2" s="355"/>
      <c r="L2" s="355"/>
      <c r="M2" s="355"/>
      <c r="N2" s="355"/>
      <c r="O2" s="362"/>
      <c r="P2"/>
      <c r="Q2"/>
      <c r="R2"/>
      <c r="S2"/>
      <c r="T2"/>
      <c r="U2"/>
    </row>
    <row r="3" spans="1:21" ht="33.75" customHeight="1" thickBot="1" x14ac:dyDescent="0.3">
      <c r="A3" s="363" t="s">
        <v>331</v>
      </c>
      <c r="B3" s="364"/>
      <c r="C3" s="364"/>
      <c r="D3" s="107"/>
      <c r="E3" s="92"/>
      <c r="F3" s="92"/>
      <c r="G3" s="92"/>
      <c r="H3" s="92"/>
      <c r="I3" s="106"/>
      <c r="J3" s="92"/>
      <c r="K3" s="92"/>
      <c r="M3"/>
      <c r="N3"/>
    </row>
    <row r="4" spans="1:21" ht="20.100000000000001" customHeight="1" x14ac:dyDescent="0.15">
      <c r="A4" s="381"/>
      <c r="B4" s="382"/>
      <c r="C4" s="383"/>
      <c r="D4" s="387" t="s">
        <v>8</v>
      </c>
      <c r="E4" s="390" t="s">
        <v>317</v>
      </c>
      <c r="F4" s="393" t="s">
        <v>306</v>
      </c>
      <c r="G4" s="129" t="s">
        <v>316</v>
      </c>
      <c r="H4" s="130" t="s">
        <v>315</v>
      </c>
      <c r="I4" s="376" t="s">
        <v>314</v>
      </c>
      <c r="J4" s="377"/>
      <c r="K4" s="377"/>
      <c r="L4" s="365" t="s">
        <v>313</v>
      </c>
      <c r="M4" s="366"/>
      <c r="N4" s="367"/>
      <c r="O4" s="368" t="s">
        <v>8</v>
      </c>
    </row>
    <row r="5" spans="1:21" ht="20.100000000000001" customHeight="1" x14ac:dyDescent="0.15">
      <c r="A5" s="384"/>
      <c r="B5" s="385"/>
      <c r="C5" s="386"/>
      <c r="D5" s="388"/>
      <c r="E5" s="391"/>
      <c r="F5" s="394"/>
      <c r="G5" s="131" t="s">
        <v>312</v>
      </c>
      <c r="H5" s="132" t="s">
        <v>311</v>
      </c>
      <c r="I5" s="371" t="s">
        <v>309</v>
      </c>
      <c r="J5" s="372"/>
      <c r="K5" s="372"/>
      <c r="L5" s="373" t="s">
        <v>307</v>
      </c>
      <c r="M5" s="374"/>
      <c r="N5" s="375"/>
      <c r="O5" s="369"/>
    </row>
    <row r="6" spans="1:21" ht="20.100000000000001" customHeight="1" thickBot="1" x14ac:dyDescent="0.2">
      <c r="A6" s="105"/>
      <c r="B6" s="104" t="s">
        <v>3</v>
      </c>
      <c r="C6" s="103" t="s">
        <v>305</v>
      </c>
      <c r="D6" s="389"/>
      <c r="E6" s="392"/>
      <c r="F6" s="395"/>
      <c r="G6" s="133" t="s">
        <v>306</v>
      </c>
      <c r="H6" s="100" t="s">
        <v>304</v>
      </c>
      <c r="I6" s="124" t="s">
        <v>3</v>
      </c>
      <c r="J6" s="103" t="s">
        <v>305</v>
      </c>
      <c r="K6" s="101" t="s">
        <v>304</v>
      </c>
      <c r="L6" s="102" t="s">
        <v>3</v>
      </c>
      <c r="M6" s="101" t="s">
        <v>305</v>
      </c>
      <c r="N6" s="100" t="s">
        <v>304</v>
      </c>
      <c r="O6" s="370"/>
    </row>
    <row r="7" spans="1:21" ht="20.100000000000001" customHeight="1" x14ac:dyDescent="0.15">
      <c r="A7" s="378" t="s">
        <v>51</v>
      </c>
      <c r="B7" s="99" t="s">
        <v>302</v>
      </c>
      <c r="C7" s="99" t="s">
        <v>299</v>
      </c>
      <c r="D7" s="99"/>
      <c r="E7" s="43"/>
      <c r="F7" s="119"/>
      <c r="G7" s="134"/>
      <c r="H7" s="113" t="s">
        <v>303</v>
      </c>
      <c r="I7" s="125" t="s">
        <v>302</v>
      </c>
      <c r="J7" s="99" t="s">
        <v>299</v>
      </c>
      <c r="K7" s="138" t="s">
        <v>301</v>
      </c>
      <c r="L7" s="134" t="s">
        <v>300</v>
      </c>
      <c r="M7" s="99" t="s">
        <v>299</v>
      </c>
      <c r="N7" s="113">
        <v>30</v>
      </c>
      <c r="O7" s="109"/>
    </row>
    <row r="8" spans="1:21" ht="20.100000000000001" customHeight="1" x14ac:dyDescent="0.15">
      <c r="A8" s="379"/>
      <c r="B8" s="97"/>
      <c r="C8" s="97"/>
      <c r="D8" s="97"/>
      <c r="E8" s="49"/>
      <c r="F8" s="120"/>
      <c r="G8" s="135"/>
      <c r="H8" s="114"/>
      <c r="I8" s="126"/>
      <c r="J8" s="97"/>
      <c r="K8" s="139"/>
      <c r="L8" s="135"/>
      <c r="M8" s="97"/>
      <c r="N8" s="114"/>
      <c r="O8" s="110"/>
    </row>
    <row r="9" spans="1:21" ht="20.100000000000001" customHeight="1" x14ac:dyDescent="0.15">
      <c r="A9" s="379"/>
      <c r="B9" s="96" t="s">
        <v>330</v>
      </c>
      <c r="C9" s="96" t="s">
        <v>134</v>
      </c>
      <c r="D9" s="96" t="s">
        <v>135</v>
      </c>
      <c r="E9" s="55"/>
      <c r="F9" s="121"/>
      <c r="G9" s="136"/>
      <c r="H9" s="147">
        <v>0.7</v>
      </c>
      <c r="I9" s="127" t="s">
        <v>330</v>
      </c>
      <c r="J9" s="96" t="s">
        <v>134</v>
      </c>
      <c r="K9" s="146">
        <v>0.3</v>
      </c>
      <c r="L9" s="136" t="s">
        <v>329</v>
      </c>
      <c r="M9" s="96" t="s">
        <v>83</v>
      </c>
      <c r="N9" s="115">
        <v>20</v>
      </c>
      <c r="O9" s="111"/>
    </row>
    <row r="10" spans="1:21" ht="20.100000000000001" customHeight="1" x14ac:dyDescent="0.15">
      <c r="A10" s="379"/>
      <c r="B10" s="96"/>
      <c r="C10" s="96" t="s">
        <v>83</v>
      </c>
      <c r="D10" s="96"/>
      <c r="E10" s="55"/>
      <c r="F10" s="121"/>
      <c r="G10" s="136"/>
      <c r="H10" s="115">
        <v>20</v>
      </c>
      <c r="I10" s="127"/>
      <c r="J10" s="96" t="s">
        <v>83</v>
      </c>
      <c r="K10" s="141">
        <v>20</v>
      </c>
      <c r="L10" s="135"/>
      <c r="M10" s="97"/>
      <c r="N10" s="114"/>
      <c r="O10" s="110"/>
    </row>
    <row r="11" spans="1:21" ht="20.100000000000001" customHeight="1" x14ac:dyDescent="0.15">
      <c r="A11" s="379"/>
      <c r="B11" s="96"/>
      <c r="C11" s="96" t="s">
        <v>136</v>
      </c>
      <c r="D11" s="96"/>
      <c r="E11" s="55"/>
      <c r="F11" s="121"/>
      <c r="G11" s="136"/>
      <c r="H11" s="115">
        <v>5</v>
      </c>
      <c r="I11" s="127"/>
      <c r="J11" s="96" t="s">
        <v>136</v>
      </c>
      <c r="K11" s="141">
        <v>5</v>
      </c>
      <c r="L11" s="136" t="s">
        <v>328</v>
      </c>
      <c r="M11" s="96" t="s">
        <v>124</v>
      </c>
      <c r="N11" s="115">
        <v>10</v>
      </c>
      <c r="O11" s="111"/>
    </row>
    <row r="12" spans="1:21" ht="20.100000000000001" customHeight="1" x14ac:dyDescent="0.15">
      <c r="A12" s="379"/>
      <c r="B12" s="96"/>
      <c r="C12" s="96"/>
      <c r="D12" s="96"/>
      <c r="E12" s="55"/>
      <c r="F12" s="121"/>
      <c r="G12" s="136" t="s">
        <v>23</v>
      </c>
      <c r="H12" s="115" t="s">
        <v>292</v>
      </c>
      <c r="I12" s="127"/>
      <c r="J12" s="96"/>
      <c r="K12" s="141"/>
      <c r="L12" s="136"/>
      <c r="M12" s="96" t="s">
        <v>61</v>
      </c>
      <c r="N12" s="115">
        <v>5</v>
      </c>
      <c r="O12" s="111"/>
    </row>
    <row r="13" spans="1:21" ht="20.100000000000001" customHeight="1" x14ac:dyDescent="0.15">
      <c r="A13" s="379"/>
      <c r="B13" s="96"/>
      <c r="C13" s="96"/>
      <c r="D13" s="96"/>
      <c r="E13" s="55"/>
      <c r="F13" s="121"/>
      <c r="G13" s="136" t="s">
        <v>24</v>
      </c>
      <c r="H13" s="115" t="s">
        <v>294</v>
      </c>
      <c r="I13" s="127"/>
      <c r="J13" s="96"/>
      <c r="K13" s="141"/>
      <c r="L13" s="135"/>
      <c r="M13" s="97"/>
      <c r="N13" s="114"/>
      <c r="O13" s="110"/>
    </row>
    <row r="14" spans="1:21" ht="20.100000000000001" customHeight="1" x14ac:dyDescent="0.15">
      <c r="A14" s="379"/>
      <c r="B14" s="96"/>
      <c r="C14" s="96"/>
      <c r="D14" s="96"/>
      <c r="E14" s="55"/>
      <c r="F14" s="121" t="s">
        <v>26</v>
      </c>
      <c r="G14" s="136" t="s">
        <v>25</v>
      </c>
      <c r="H14" s="115" t="s">
        <v>294</v>
      </c>
      <c r="I14" s="127"/>
      <c r="J14" s="96"/>
      <c r="K14" s="141"/>
      <c r="L14" s="136" t="s">
        <v>327</v>
      </c>
      <c r="M14" s="96" t="s">
        <v>143</v>
      </c>
      <c r="N14" s="118">
        <v>0.08</v>
      </c>
      <c r="O14" s="111"/>
    </row>
    <row r="15" spans="1:21" ht="20.100000000000001" customHeight="1" x14ac:dyDescent="0.15">
      <c r="A15" s="379"/>
      <c r="B15" s="97"/>
      <c r="C15" s="97"/>
      <c r="D15" s="97"/>
      <c r="E15" s="49"/>
      <c r="F15" s="120"/>
      <c r="G15" s="135"/>
      <c r="H15" s="114"/>
      <c r="I15" s="126"/>
      <c r="J15" s="97"/>
      <c r="K15" s="139"/>
      <c r="L15" s="136"/>
      <c r="M15" s="96"/>
      <c r="N15" s="115"/>
      <c r="O15" s="111"/>
    </row>
    <row r="16" spans="1:21" ht="20.100000000000001" customHeight="1" x14ac:dyDescent="0.15">
      <c r="A16" s="379"/>
      <c r="B16" s="96" t="s">
        <v>326</v>
      </c>
      <c r="C16" s="96" t="s">
        <v>124</v>
      </c>
      <c r="D16" s="96"/>
      <c r="E16" s="55"/>
      <c r="F16" s="121"/>
      <c r="G16" s="136"/>
      <c r="H16" s="115">
        <v>20</v>
      </c>
      <c r="I16" s="127" t="s">
        <v>326</v>
      </c>
      <c r="J16" s="96" t="s">
        <v>124</v>
      </c>
      <c r="K16" s="141">
        <v>10</v>
      </c>
      <c r="L16" s="136"/>
      <c r="M16" s="96"/>
      <c r="N16" s="115"/>
      <c r="O16" s="111"/>
    </row>
    <row r="17" spans="1:15" ht="20.100000000000001" customHeight="1" x14ac:dyDescent="0.15">
      <c r="A17" s="379"/>
      <c r="B17" s="96"/>
      <c r="C17" s="96" t="s">
        <v>84</v>
      </c>
      <c r="D17" s="96"/>
      <c r="E17" s="55"/>
      <c r="F17" s="121"/>
      <c r="G17" s="136"/>
      <c r="H17" s="115">
        <v>5</v>
      </c>
      <c r="I17" s="127"/>
      <c r="J17" s="96" t="s">
        <v>84</v>
      </c>
      <c r="K17" s="141">
        <v>5</v>
      </c>
      <c r="L17" s="136"/>
      <c r="M17" s="96"/>
      <c r="N17" s="115"/>
      <c r="O17" s="111"/>
    </row>
    <row r="18" spans="1:15" ht="20.100000000000001" customHeight="1" x14ac:dyDescent="0.15">
      <c r="A18" s="379"/>
      <c r="B18" s="96"/>
      <c r="C18" s="96" t="s">
        <v>61</v>
      </c>
      <c r="D18" s="96"/>
      <c r="E18" s="55"/>
      <c r="F18" s="121"/>
      <c r="G18" s="136"/>
      <c r="H18" s="115">
        <v>5</v>
      </c>
      <c r="I18" s="127"/>
      <c r="J18" s="96" t="s">
        <v>61</v>
      </c>
      <c r="K18" s="141">
        <v>5</v>
      </c>
      <c r="L18" s="136"/>
      <c r="M18" s="96"/>
      <c r="N18" s="115"/>
      <c r="O18" s="111"/>
    </row>
    <row r="19" spans="1:15" ht="20.100000000000001" customHeight="1" x14ac:dyDescent="0.15">
      <c r="A19" s="379"/>
      <c r="B19" s="97"/>
      <c r="C19" s="97"/>
      <c r="D19" s="97"/>
      <c r="E19" s="49"/>
      <c r="F19" s="145"/>
      <c r="G19" s="135"/>
      <c r="H19" s="114"/>
      <c r="I19" s="126"/>
      <c r="J19" s="97"/>
      <c r="K19" s="139"/>
      <c r="L19" s="136"/>
      <c r="M19" s="96"/>
      <c r="N19" s="115"/>
      <c r="O19" s="111"/>
    </row>
    <row r="20" spans="1:15" ht="20.100000000000001" customHeight="1" x14ac:dyDescent="0.15">
      <c r="A20" s="379"/>
      <c r="B20" s="96" t="s">
        <v>38</v>
      </c>
      <c r="C20" s="96" t="s">
        <v>35</v>
      </c>
      <c r="D20" s="96"/>
      <c r="E20" s="55" t="s">
        <v>36</v>
      </c>
      <c r="F20" s="121"/>
      <c r="G20" s="136"/>
      <c r="H20" s="144">
        <v>0.13</v>
      </c>
      <c r="I20" s="127" t="s">
        <v>38</v>
      </c>
      <c r="J20" s="96" t="s">
        <v>296</v>
      </c>
      <c r="K20" s="143">
        <v>0.13</v>
      </c>
      <c r="L20" s="136"/>
      <c r="M20" s="96"/>
      <c r="N20" s="115"/>
      <c r="O20" s="111"/>
    </row>
    <row r="21" spans="1:15" ht="20.100000000000001" customHeight="1" x14ac:dyDescent="0.15">
      <c r="A21" s="379"/>
      <c r="B21" s="96"/>
      <c r="C21" s="96"/>
      <c r="D21" s="96"/>
      <c r="E21" s="55"/>
      <c r="F21" s="121"/>
      <c r="G21" s="136" t="s">
        <v>23</v>
      </c>
      <c r="H21" s="115" t="s">
        <v>292</v>
      </c>
      <c r="I21" s="127"/>
      <c r="J21" s="96"/>
      <c r="K21" s="141"/>
      <c r="L21" s="136"/>
      <c r="M21" s="96"/>
      <c r="N21" s="115"/>
      <c r="O21" s="111"/>
    </row>
    <row r="22" spans="1:15" ht="20.100000000000001" customHeight="1" x14ac:dyDescent="0.15">
      <c r="A22" s="379"/>
      <c r="B22" s="96"/>
      <c r="C22" s="96"/>
      <c r="D22" s="96"/>
      <c r="E22" s="55"/>
      <c r="F22" s="121" t="s">
        <v>26</v>
      </c>
      <c r="G22" s="136" t="s">
        <v>25</v>
      </c>
      <c r="H22" s="115" t="s">
        <v>294</v>
      </c>
      <c r="I22" s="127"/>
      <c r="J22" s="96"/>
      <c r="K22" s="141"/>
      <c r="L22" s="136"/>
      <c r="M22" s="96"/>
      <c r="N22" s="115"/>
      <c r="O22" s="111"/>
    </row>
    <row r="23" spans="1:15" ht="20.100000000000001" customHeight="1" x14ac:dyDescent="0.15">
      <c r="A23" s="379"/>
      <c r="B23" s="97"/>
      <c r="C23" s="97"/>
      <c r="D23" s="97"/>
      <c r="E23" s="49"/>
      <c r="F23" s="120"/>
      <c r="G23" s="135"/>
      <c r="H23" s="114"/>
      <c r="I23" s="126"/>
      <c r="J23" s="97"/>
      <c r="K23" s="139"/>
      <c r="L23" s="136"/>
      <c r="M23" s="96"/>
      <c r="N23" s="115"/>
      <c r="O23" s="111"/>
    </row>
    <row r="24" spans="1:15" ht="20.100000000000001" customHeight="1" x14ac:dyDescent="0.15">
      <c r="A24" s="379"/>
      <c r="B24" s="96" t="s">
        <v>142</v>
      </c>
      <c r="C24" s="96" t="s">
        <v>143</v>
      </c>
      <c r="D24" s="96"/>
      <c r="E24" s="55"/>
      <c r="F24" s="121"/>
      <c r="G24" s="136"/>
      <c r="H24" s="116">
        <v>0.1</v>
      </c>
      <c r="I24" s="127" t="s">
        <v>142</v>
      </c>
      <c r="J24" s="96" t="s">
        <v>143</v>
      </c>
      <c r="K24" s="140">
        <v>0.1</v>
      </c>
      <c r="L24" s="136"/>
      <c r="M24" s="96"/>
      <c r="N24" s="115"/>
      <c r="O24" s="111"/>
    </row>
    <row r="25" spans="1:15" ht="20.100000000000001" customHeight="1" thickBot="1" x14ac:dyDescent="0.2">
      <c r="A25" s="380"/>
      <c r="B25" s="95"/>
      <c r="C25" s="95"/>
      <c r="D25" s="95"/>
      <c r="E25" s="62"/>
      <c r="F25" s="123"/>
      <c r="G25" s="137"/>
      <c r="H25" s="117"/>
      <c r="I25" s="128"/>
      <c r="J25" s="95"/>
      <c r="K25" s="142"/>
      <c r="L25" s="137"/>
      <c r="M25" s="95"/>
      <c r="N25" s="117"/>
      <c r="O25" s="112"/>
    </row>
    <row r="26" spans="1:15" ht="14.25" x14ac:dyDescent="0.15">
      <c r="B26" s="94"/>
      <c r="C26" s="94"/>
      <c r="D26" s="94"/>
      <c r="G26" s="94"/>
      <c r="H26" s="93"/>
      <c r="I26" s="94"/>
      <c r="J26" s="94"/>
      <c r="K26" s="93"/>
      <c r="L26" s="94"/>
      <c r="M26" s="94"/>
      <c r="N26" s="93"/>
    </row>
    <row r="27" spans="1:15" ht="14.25" x14ac:dyDescent="0.15">
      <c r="B27" s="94"/>
      <c r="C27" s="94"/>
      <c r="D27" s="94"/>
      <c r="G27" s="94"/>
      <c r="H27" s="93"/>
      <c r="I27" s="94"/>
      <c r="J27" s="94"/>
      <c r="K27" s="93"/>
      <c r="L27" s="94"/>
      <c r="M27" s="94"/>
      <c r="N27" s="93"/>
    </row>
    <row r="28" spans="1:15" ht="14.25" x14ac:dyDescent="0.15">
      <c r="B28" s="94"/>
      <c r="C28" s="94"/>
      <c r="D28" s="94"/>
      <c r="G28" s="94"/>
      <c r="H28" s="93"/>
      <c r="I28" s="94"/>
      <c r="J28" s="94"/>
      <c r="K28" s="93"/>
      <c r="L28" s="94"/>
      <c r="M28" s="94"/>
      <c r="N28" s="93"/>
    </row>
    <row r="29" spans="1:15" ht="14.25" x14ac:dyDescent="0.15">
      <c r="B29" s="94"/>
      <c r="C29" s="94"/>
      <c r="D29" s="94"/>
      <c r="G29" s="94"/>
      <c r="H29" s="93"/>
      <c r="I29" s="94"/>
      <c r="J29" s="94"/>
      <c r="K29" s="93"/>
      <c r="L29" s="94"/>
      <c r="M29" s="94"/>
      <c r="N29" s="93"/>
    </row>
    <row r="30" spans="1:15" ht="14.25" x14ac:dyDescent="0.15">
      <c r="B30" s="94"/>
      <c r="C30" s="94"/>
      <c r="D30" s="94"/>
      <c r="G30" s="94"/>
      <c r="H30" s="93"/>
      <c r="I30" s="94"/>
      <c r="J30" s="94"/>
      <c r="K30" s="93"/>
      <c r="L30" s="94"/>
      <c r="M30" s="94"/>
      <c r="N30" s="93"/>
    </row>
    <row r="31" spans="1:15" ht="14.25" x14ac:dyDescent="0.15">
      <c r="B31" s="94"/>
      <c r="C31" s="94"/>
      <c r="D31" s="94"/>
      <c r="G31" s="94"/>
      <c r="H31" s="93"/>
      <c r="I31" s="94"/>
      <c r="J31" s="94"/>
      <c r="K31" s="93"/>
      <c r="L31" s="94"/>
      <c r="M31" s="94"/>
      <c r="N31" s="93"/>
    </row>
    <row r="32" spans="1:15" ht="14.25" x14ac:dyDescent="0.15">
      <c r="B32" s="94"/>
      <c r="C32" s="94"/>
      <c r="D32" s="94"/>
      <c r="G32" s="94"/>
      <c r="H32" s="93"/>
      <c r="I32" s="94"/>
      <c r="J32" s="94"/>
      <c r="K32" s="93"/>
      <c r="L32" s="94"/>
      <c r="M32" s="94"/>
      <c r="N32" s="93"/>
    </row>
    <row r="33" spans="2:14" ht="14.25" x14ac:dyDescent="0.15">
      <c r="B33" s="94"/>
      <c r="C33" s="94"/>
      <c r="D33" s="94"/>
      <c r="G33" s="94"/>
      <c r="H33" s="93"/>
      <c r="I33" s="94"/>
      <c r="J33" s="94"/>
      <c r="K33" s="93"/>
      <c r="L33" s="94"/>
      <c r="M33" s="94"/>
      <c r="N33" s="93"/>
    </row>
    <row r="34" spans="2:14" ht="14.25" x14ac:dyDescent="0.15">
      <c r="B34" s="94"/>
      <c r="C34" s="94"/>
      <c r="D34" s="94"/>
      <c r="G34" s="94"/>
      <c r="H34" s="93"/>
      <c r="I34" s="94"/>
      <c r="J34" s="94"/>
      <c r="K34" s="93"/>
      <c r="L34" s="94"/>
      <c r="M34" s="94"/>
      <c r="N34" s="93"/>
    </row>
    <row r="35" spans="2:14" ht="14.25"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3">
    <mergeCell ref="A7:A25"/>
    <mergeCell ref="A4:C5"/>
    <mergeCell ref="D4:D6"/>
    <mergeCell ref="E4:E6"/>
    <mergeCell ref="F4:F6"/>
    <mergeCell ref="E1:N1"/>
    <mergeCell ref="A2:O2"/>
    <mergeCell ref="A3:C3"/>
    <mergeCell ref="L4:N4"/>
    <mergeCell ref="O4:O6"/>
    <mergeCell ref="I5:K5"/>
    <mergeCell ref="L5:N5"/>
    <mergeCell ref="I4:K4"/>
  </mergeCells>
  <phoneticPr fontId="21"/>
  <printOptions horizontalCentered="1"/>
  <pageMargins left="0.59055118110236227" right="0.59055118110236227" top="0.35433070866141736" bottom="0.15748031496062992" header="0.31496062992125984" footer="0.31496062992125984"/>
  <pageSetup paperSize="12"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17</v>
      </c>
      <c r="B1" s="1"/>
      <c r="C1" s="2"/>
      <c r="D1" s="3"/>
      <c r="E1" s="2"/>
      <c r="F1" s="2"/>
      <c r="G1" s="2"/>
      <c r="H1" s="354"/>
      <c r="I1" s="354"/>
      <c r="J1" s="355"/>
      <c r="K1" s="355"/>
      <c r="L1" s="355"/>
      <c r="M1" s="355"/>
      <c r="N1" s="355"/>
      <c r="O1" s="355"/>
      <c r="P1" s="2"/>
      <c r="Q1" s="2"/>
      <c r="R1" s="4"/>
      <c r="S1" s="4"/>
      <c r="T1" s="3"/>
      <c r="U1" s="3"/>
    </row>
    <row r="2" spans="1:21" ht="36.75" customHeight="1" x14ac:dyDescent="0.15">
      <c r="A2" s="354" t="s">
        <v>0</v>
      </c>
      <c r="B2" s="354"/>
      <c r="C2" s="355"/>
      <c r="D2" s="355"/>
      <c r="E2" s="355"/>
      <c r="F2" s="355"/>
      <c r="G2" s="355"/>
      <c r="H2" s="355"/>
      <c r="I2" s="355"/>
      <c r="J2" s="355"/>
      <c r="K2" s="355"/>
      <c r="L2" s="355"/>
      <c r="M2" s="355"/>
      <c r="N2" s="355"/>
      <c r="O2" s="355"/>
      <c r="P2" s="355"/>
      <c r="Q2" s="355"/>
      <c r="R2" s="355"/>
      <c r="S2" s="355"/>
      <c r="T2" s="355"/>
      <c r="U2" s="3"/>
    </row>
    <row r="3" spans="1:21" ht="27.75" customHeight="1" thickBot="1" x14ac:dyDescent="0.3">
      <c r="A3" s="356" t="s">
        <v>146</v>
      </c>
      <c r="B3" s="357"/>
      <c r="C3" s="357"/>
      <c r="D3" s="357"/>
      <c r="E3" s="357"/>
      <c r="F3" s="357"/>
      <c r="G3" s="2"/>
      <c r="H3" s="2"/>
      <c r="I3" s="13"/>
      <c r="J3" s="2"/>
      <c r="K3" s="7"/>
      <c r="L3" s="7"/>
      <c r="M3" s="7"/>
      <c r="N3" s="11"/>
      <c r="O3" s="2"/>
      <c r="P3" s="14"/>
      <c r="Q3" s="13"/>
      <c r="R3" s="15"/>
      <c r="S3" s="15"/>
      <c r="T3" s="16"/>
      <c r="U3" s="12"/>
    </row>
    <row r="4" spans="1:21" customFormat="1" ht="42" customHeight="1" thickBot="1" x14ac:dyDescent="0.2">
      <c r="A4" s="17"/>
      <c r="B4" s="18" t="s">
        <v>3</v>
      </c>
      <c r="C4" s="19" t="s">
        <v>4</v>
      </c>
      <c r="D4" s="20" t="s">
        <v>5</v>
      </c>
      <c r="E4" s="37" t="s">
        <v>9</v>
      </c>
      <c r="F4" s="21" t="s">
        <v>7</v>
      </c>
      <c r="G4" s="19" t="s">
        <v>8</v>
      </c>
      <c r="H4" s="18" t="s">
        <v>4</v>
      </c>
      <c r="I4" s="20" t="s">
        <v>5</v>
      </c>
      <c r="J4" s="38" t="s">
        <v>6</v>
      </c>
      <c r="K4" s="21" t="s">
        <v>7</v>
      </c>
      <c r="L4" s="21" t="s">
        <v>8</v>
      </c>
      <c r="M4" s="21" t="s">
        <v>10</v>
      </c>
      <c r="N4" s="23" t="s">
        <v>11</v>
      </c>
      <c r="O4" s="24" t="s">
        <v>12</v>
      </c>
      <c r="P4" s="21" t="s">
        <v>13</v>
      </c>
      <c r="Q4" s="25" t="s">
        <v>5</v>
      </c>
      <c r="R4" s="22" t="s">
        <v>15</v>
      </c>
      <c r="S4" s="26" t="s">
        <v>14</v>
      </c>
      <c r="T4" s="27" t="s">
        <v>16</v>
      </c>
      <c r="U4" s="28"/>
    </row>
    <row r="5" spans="1:21" ht="18.75" customHeight="1" x14ac:dyDescent="0.15">
      <c r="A5" s="358" t="s">
        <v>51</v>
      </c>
      <c r="B5" s="73" t="s">
        <v>147</v>
      </c>
      <c r="C5" s="42" t="s">
        <v>150</v>
      </c>
      <c r="D5" s="43" t="s">
        <v>40</v>
      </c>
      <c r="E5" s="44">
        <v>40</v>
      </c>
      <c r="F5" s="45" t="s">
        <v>29</v>
      </c>
      <c r="G5" s="77" t="s">
        <v>151</v>
      </c>
      <c r="H5" s="81" t="s">
        <v>150</v>
      </c>
      <c r="I5" s="43" t="s">
        <v>40</v>
      </c>
      <c r="J5" s="45">
        <f t="shared" ref="J5:J11" si="0">ROUNDUP(E5*0.75,2)</f>
        <v>30</v>
      </c>
      <c r="K5" s="45" t="s">
        <v>29</v>
      </c>
      <c r="L5" s="45" t="s">
        <v>151</v>
      </c>
      <c r="M5" s="45"/>
      <c r="N5" s="85">
        <f>M5</f>
        <v>0</v>
      </c>
      <c r="O5" s="73" t="s">
        <v>123</v>
      </c>
      <c r="P5" s="46" t="s">
        <v>23</v>
      </c>
      <c r="Q5" s="43"/>
      <c r="R5" s="47">
        <v>130</v>
      </c>
      <c r="S5" s="44">
        <f>ROUNDUP(R5*0.75,2)</f>
        <v>97.5</v>
      </c>
      <c r="T5" s="69"/>
    </row>
    <row r="6" spans="1:21" ht="18.75" customHeight="1" x14ac:dyDescent="0.15">
      <c r="A6" s="359"/>
      <c r="B6" s="75"/>
      <c r="C6" s="54" t="s">
        <v>75</v>
      </c>
      <c r="D6" s="55"/>
      <c r="E6" s="56">
        <v>30</v>
      </c>
      <c r="F6" s="57" t="s">
        <v>29</v>
      </c>
      <c r="G6" s="79" t="s">
        <v>55</v>
      </c>
      <c r="H6" s="83" t="s">
        <v>75</v>
      </c>
      <c r="I6" s="55"/>
      <c r="J6" s="57">
        <f t="shared" si="0"/>
        <v>22.5</v>
      </c>
      <c r="K6" s="57" t="s">
        <v>29</v>
      </c>
      <c r="L6" s="57" t="s">
        <v>55</v>
      </c>
      <c r="M6" s="57"/>
      <c r="N6" s="87">
        <f>M6</f>
        <v>0</v>
      </c>
      <c r="O6" s="75" t="s">
        <v>148</v>
      </c>
      <c r="P6" s="58" t="s">
        <v>27</v>
      </c>
      <c r="Q6" s="55"/>
      <c r="R6" s="59">
        <v>2</v>
      </c>
      <c r="S6" s="56">
        <f>ROUNDUP(R6*0.75,2)</f>
        <v>1.5</v>
      </c>
      <c r="T6" s="71"/>
    </row>
    <row r="7" spans="1:21" ht="18.75" customHeight="1" x14ac:dyDescent="0.15">
      <c r="A7" s="359"/>
      <c r="B7" s="75"/>
      <c r="C7" s="54" t="s">
        <v>33</v>
      </c>
      <c r="D7" s="55"/>
      <c r="E7" s="56">
        <v>20</v>
      </c>
      <c r="F7" s="57" t="s">
        <v>29</v>
      </c>
      <c r="G7" s="79"/>
      <c r="H7" s="83" t="s">
        <v>33</v>
      </c>
      <c r="I7" s="55"/>
      <c r="J7" s="57">
        <f t="shared" si="0"/>
        <v>15</v>
      </c>
      <c r="K7" s="57" t="s">
        <v>29</v>
      </c>
      <c r="L7" s="57"/>
      <c r="M7" s="57"/>
      <c r="N7" s="87">
        <f>ROUND(M7+(M7*6/100),2)</f>
        <v>0</v>
      </c>
      <c r="O7" s="75" t="s">
        <v>149</v>
      </c>
      <c r="P7" s="58" t="s">
        <v>43</v>
      </c>
      <c r="Q7" s="55"/>
      <c r="R7" s="59">
        <v>0.1</v>
      </c>
      <c r="S7" s="56">
        <f>ROUNDUP(R7*0.75,2)</f>
        <v>0.08</v>
      </c>
      <c r="T7" s="71"/>
    </row>
    <row r="8" spans="1:21" ht="18.75" customHeight="1" x14ac:dyDescent="0.15">
      <c r="A8" s="359"/>
      <c r="B8" s="75"/>
      <c r="C8" s="54" t="s">
        <v>61</v>
      </c>
      <c r="D8" s="55"/>
      <c r="E8" s="56">
        <v>10</v>
      </c>
      <c r="F8" s="57" t="s">
        <v>29</v>
      </c>
      <c r="G8" s="79"/>
      <c r="H8" s="83" t="s">
        <v>61</v>
      </c>
      <c r="I8" s="55"/>
      <c r="J8" s="57">
        <f t="shared" si="0"/>
        <v>7.5</v>
      </c>
      <c r="K8" s="57" t="s">
        <v>29</v>
      </c>
      <c r="L8" s="57"/>
      <c r="M8" s="57"/>
      <c r="N8" s="87">
        <f>ROUND(M8+(M8*3/100),2)</f>
        <v>0</v>
      </c>
      <c r="O8" s="75" t="s">
        <v>19</v>
      </c>
      <c r="P8" s="58" t="s">
        <v>25</v>
      </c>
      <c r="Q8" s="55" t="s">
        <v>26</v>
      </c>
      <c r="R8" s="59">
        <v>3.5</v>
      </c>
      <c r="S8" s="56">
        <f>ROUNDUP(R8*0.75,2)</f>
        <v>2.63</v>
      </c>
      <c r="T8" s="71"/>
    </row>
    <row r="9" spans="1:21" ht="18.75" customHeight="1" x14ac:dyDescent="0.15">
      <c r="A9" s="359"/>
      <c r="B9" s="75"/>
      <c r="C9" s="54" t="s">
        <v>145</v>
      </c>
      <c r="D9" s="55"/>
      <c r="E9" s="56">
        <v>5</v>
      </c>
      <c r="F9" s="57" t="s">
        <v>29</v>
      </c>
      <c r="G9" s="79"/>
      <c r="H9" s="83" t="s">
        <v>145</v>
      </c>
      <c r="I9" s="55"/>
      <c r="J9" s="57">
        <f t="shared" si="0"/>
        <v>3.75</v>
      </c>
      <c r="K9" s="57" t="s">
        <v>29</v>
      </c>
      <c r="L9" s="57"/>
      <c r="M9" s="57"/>
      <c r="N9" s="87">
        <f>ROUND(M9+(M9*10/100),2)</f>
        <v>0</v>
      </c>
      <c r="O9" s="75"/>
      <c r="P9" s="58"/>
      <c r="Q9" s="55"/>
      <c r="R9" s="59"/>
      <c r="S9" s="56"/>
      <c r="T9" s="71"/>
    </row>
    <row r="10" spans="1:21" ht="18.75" customHeight="1" x14ac:dyDescent="0.15">
      <c r="A10" s="359"/>
      <c r="B10" s="75"/>
      <c r="C10" s="54" t="s">
        <v>101</v>
      </c>
      <c r="D10" s="55"/>
      <c r="E10" s="56">
        <v>10</v>
      </c>
      <c r="F10" s="57" t="s">
        <v>29</v>
      </c>
      <c r="G10" s="79" t="s">
        <v>39</v>
      </c>
      <c r="H10" s="83" t="s">
        <v>101</v>
      </c>
      <c r="I10" s="55"/>
      <c r="J10" s="57">
        <f t="shared" si="0"/>
        <v>7.5</v>
      </c>
      <c r="K10" s="57" t="s">
        <v>29</v>
      </c>
      <c r="L10" s="57" t="s">
        <v>39</v>
      </c>
      <c r="M10" s="57"/>
      <c r="N10" s="87">
        <f>M10</f>
        <v>0</v>
      </c>
      <c r="O10" s="75"/>
      <c r="P10" s="58"/>
      <c r="Q10" s="55"/>
      <c r="R10" s="59"/>
      <c r="S10" s="56"/>
      <c r="T10" s="71"/>
    </row>
    <row r="11" spans="1:21" ht="18.75" customHeight="1" x14ac:dyDescent="0.15">
      <c r="A11" s="359"/>
      <c r="B11" s="75"/>
      <c r="C11" s="54" t="s">
        <v>152</v>
      </c>
      <c r="D11" s="55"/>
      <c r="E11" s="56">
        <v>2</v>
      </c>
      <c r="F11" s="57" t="s">
        <v>29</v>
      </c>
      <c r="G11" s="79"/>
      <c r="H11" s="83" t="s">
        <v>152</v>
      </c>
      <c r="I11" s="55"/>
      <c r="J11" s="57">
        <f t="shared" si="0"/>
        <v>1.5</v>
      </c>
      <c r="K11" s="57" t="s">
        <v>29</v>
      </c>
      <c r="L11" s="57"/>
      <c r="M11" s="57"/>
      <c r="N11" s="87">
        <f>ROUND(M11+(M11*10/100),2)</f>
        <v>0</v>
      </c>
      <c r="O11" s="75"/>
      <c r="P11" s="58"/>
      <c r="Q11" s="55"/>
      <c r="R11" s="59"/>
      <c r="S11" s="56"/>
      <c r="T11" s="71"/>
    </row>
    <row r="12" spans="1:21" ht="18.75" customHeight="1" x14ac:dyDescent="0.15">
      <c r="A12" s="359"/>
      <c r="B12" s="74"/>
      <c r="C12" s="48"/>
      <c r="D12" s="49"/>
      <c r="E12" s="50"/>
      <c r="F12" s="51"/>
      <c r="G12" s="78"/>
      <c r="H12" s="82"/>
      <c r="I12" s="49"/>
      <c r="J12" s="51"/>
      <c r="K12" s="51"/>
      <c r="L12" s="51"/>
      <c r="M12" s="51"/>
      <c r="N12" s="86"/>
      <c r="O12" s="74"/>
      <c r="P12" s="52"/>
      <c r="Q12" s="49"/>
      <c r="R12" s="53"/>
      <c r="S12" s="50"/>
      <c r="T12" s="70"/>
    </row>
    <row r="13" spans="1:21" ht="18.75" customHeight="1" x14ac:dyDescent="0.15">
      <c r="A13" s="359"/>
      <c r="B13" s="75" t="s">
        <v>153</v>
      </c>
      <c r="C13" s="54" t="s">
        <v>58</v>
      </c>
      <c r="D13" s="55"/>
      <c r="E13" s="89">
        <v>0.16666666666666666</v>
      </c>
      <c r="F13" s="57" t="s">
        <v>59</v>
      </c>
      <c r="G13" s="79" t="s">
        <v>39</v>
      </c>
      <c r="H13" s="83" t="s">
        <v>58</v>
      </c>
      <c r="I13" s="55"/>
      <c r="J13" s="57">
        <f>ROUNDUP(E13*0.75,2)</f>
        <v>0.13</v>
      </c>
      <c r="K13" s="57" t="s">
        <v>59</v>
      </c>
      <c r="L13" s="57" t="s">
        <v>39</v>
      </c>
      <c r="M13" s="57"/>
      <c r="N13" s="87">
        <f>M13</f>
        <v>0</v>
      </c>
      <c r="O13" s="75" t="s">
        <v>266</v>
      </c>
      <c r="P13" s="58" t="s">
        <v>24</v>
      </c>
      <c r="Q13" s="55"/>
      <c r="R13" s="59">
        <v>1.3</v>
      </c>
      <c r="S13" s="56">
        <f>ROUNDUP(R13*0.75,2)</f>
        <v>0.98</v>
      </c>
      <c r="T13" s="71"/>
    </row>
    <row r="14" spans="1:21" ht="18.75" customHeight="1" x14ac:dyDescent="0.15">
      <c r="A14" s="359"/>
      <c r="B14" s="75"/>
      <c r="C14" s="54" t="s">
        <v>60</v>
      </c>
      <c r="D14" s="55"/>
      <c r="E14" s="56">
        <v>10</v>
      </c>
      <c r="F14" s="57" t="s">
        <v>29</v>
      </c>
      <c r="G14" s="79" t="s">
        <v>31</v>
      </c>
      <c r="H14" s="83" t="s">
        <v>60</v>
      </c>
      <c r="I14" s="55"/>
      <c r="J14" s="57">
        <f>ROUNDUP(E14*0.75,2)</f>
        <v>7.5</v>
      </c>
      <c r="K14" s="57" t="s">
        <v>29</v>
      </c>
      <c r="L14" s="57" t="s">
        <v>31</v>
      </c>
      <c r="M14" s="57"/>
      <c r="N14" s="87">
        <f>M14</f>
        <v>0</v>
      </c>
      <c r="O14" s="75" t="s">
        <v>267</v>
      </c>
      <c r="P14" s="58" t="s">
        <v>25</v>
      </c>
      <c r="Q14" s="55" t="s">
        <v>26</v>
      </c>
      <c r="R14" s="59">
        <v>1.5</v>
      </c>
      <c r="S14" s="56">
        <f>ROUNDUP(R14*0.75,2)</f>
        <v>1.1300000000000001</v>
      </c>
      <c r="T14" s="71"/>
    </row>
    <row r="15" spans="1:21" ht="18.75" customHeight="1" x14ac:dyDescent="0.15">
      <c r="A15" s="359"/>
      <c r="B15" s="75"/>
      <c r="C15" s="54" t="s">
        <v>155</v>
      </c>
      <c r="D15" s="55"/>
      <c r="E15" s="56">
        <v>10</v>
      </c>
      <c r="F15" s="57" t="s">
        <v>29</v>
      </c>
      <c r="G15" s="79"/>
      <c r="H15" s="83" t="s">
        <v>155</v>
      </c>
      <c r="I15" s="55"/>
      <c r="J15" s="57">
        <f>ROUNDUP(E15*0.75,2)</f>
        <v>7.5</v>
      </c>
      <c r="K15" s="57" t="s">
        <v>29</v>
      </c>
      <c r="L15" s="57"/>
      <c r="M15" s="57"/>
      <c r="N15" s="87">
        <f>ROUND(M15+(M15*3/100),2)</f>
        <v>0</v>
      </c>
      <c r="O15" s="75" t="s">
        <v>154</v>
      </c>
      <c r="P15" s="58" t="s">
        <v>57</v>
      </c>
      <c r="Q15" s="55"/>
      <c r="R15" s="59">
        <v>1.5</v>
      </c>
      <c r="S15" s="56">
        <f>ROUNDUP(R15*0.75,2)</f>
        <v>1.1300000000000001</v>
      </c>
      <c r="T15" s="71"/>
    </row>
    <row r="16" spans="1:21" ht="18.75" customHeight="1" x14ac:dyDescent="0.15">
      <c r="A16" s="359"/>
      <c r="B16" s="75"/>
      <c r="C16" s="54" t="s">
        <v>85</v>
      </c>
      <c r="D16" s="55"/>
      <c r="E16" s="56">
        <v>10</v>
      </c>
      <c r="F16" s="57" t="s">
        <v>29</v>
      </c>
      <c r="G16" s="79" t="s">
        <v>86</v>
      </c>
      <c r="H16" s="83" t="s">
        <v>85</v>
      </c>
      <c r="I16" s="55"/>
      <c r="J16" s="57">
        <f>ROUNDUP(E16*0.75,2)</f>
        <v>7.5</v>
      </c>
      <c r="K16" s="57" t="s">
        <v>29</v>
      </c>
      <c r="L16" s="57" t="s">
        <v>86</v>
      </c>
      <c r="M16" s="57"/>
      <c r="N16" s="87">
        <f>M16</f>
        <v>0</v>
      </c>
      <c r="O16" s="75" t="s">
        <v>19</v>
      </c>
      <c r="P16" s="58" t="s">
        <v>62</v>
      </c>
      <c r="Q16" s="55"/>
      <c r="R16" s="59">
        <v>2</v>
      </c>
      <c r="S16" s="56">
        <f>ROUNDUP(R16*0.75,2)</f>
        <v>1.5</v>
      </c>
      <c r="T16" s="71"/>
    </row>
    <row r="17" spans="1:20" ht="18.75" customHeight="1" x14ac:dyDescent="0.15">
      <c r="A17" s="359"/>
      <c r="B17" s="74"/>
      <c r="C17" s="48"/>
      <c r="D17" s="49"/>
      <c r="E17" s="50"/>
      <c r="F17" s="51"/>
      <c r="G17" s="78"/>
      <c r="H17" s="82"/>
      <c r="I17" s="49"/>
      <c r="J17" s="51"/>
      <c r="K17" s="51"/>
      <c r="L17" s="51"/>
      <c r="M17" s="51"/>
      <c r="N17" s="86"/>
      <c r="O17" s="74"/>
      <c r="P17" s="52"/>
      <c r="Q17" s="49"/>
      <c r="R17" s="53"/>
      <c r="S17" s="50"/>
      <c r="T17" s="70"/>
    </row>
    <row r="18" spans="1:20" ht="18.75" customHeight="1" x14ac:dyDescent="0.15">
      <c r="A18" s="359"/>
      <c r="B18" s="75" t="s">
        <v>91</v>
      </c>
      <c r="C18" s="54" t="s">
        <v>93</v>
      </c>
      <c r="D18" s="55"/>
      <c r="E18" s="89">
        <v>0.16666666666666666</v>
      </c>
      <c r="F18" s="57" t="s">
        <v>32</v>
      </c>
      <c r="G18" s="79"/>
      <c r="H18" s="83" t="s">
        <v>93</v>
      </c>
      <c r="I18" s="55"/>
      <c r="J18" s="57">
        <f>ROUNDUP(E18*0.75,2)</f>
        <v>0.13</v>
      </c>
      <c r="K18" s="57" t="s">
        <v>32</v>
      </c>
      <c r="L18" s="57"/>
      <c r="M18" s="57"/>
      <c r="N18" s="87">
        <f>M18</f>
        <v>0</v>
      </c>
      <c r="O18" s="75" t="s">
        <v>92</v>
      </c>
      <c r="P18" s="58"/>
      <c r="Q18" s="55"/>
      <c r="R18" s="59"/>
      <c r="S18" s="56"/>
      <c r="T18" s="71"/>
    </row>
    <row r="19" spans="1:20" ht="18.75" customHeight="1" thickBot="1" x14ac:dyDescent="0.2">
      <c r="A19" s="360"/>
      <c r="B19" s="76"/>
      <c r="C19" s="61"/>
      <c r="D19" s="62"/>
      <c r="E19" s="63"/>
      <c r="F19" s="64"/>
      <c r="G19" s="80"/>
      <c r="H19" s="84"/>
      <c r="I19" s="62"/>
      <c r="J19" s="64"/>
      <c r="K19" s="64"/>
      <c r="L19" s="64"/>
      <c r="M19" s="64"/>
      <c r="N19" s="88"/>
      <c r="O19" s="76"/>
      <c r="P19" s="65"/>
      <c r="Q19" s="62"/>
      <c r="R19" s="66"/>
      <c r="S19" s="63"/>
      <c r="T19" s="72"/>
    </row>
  </sheetData>
  <mergeCells count="4">
    <mergeCell ref="H1:O1"/>
    <mergeCell ref="A2:T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vt:i4>
      </vt:variant>
    </vt:vector>
  </HeadingPairs>
  <TitlesOfParts>
    <vt:vector size="42" baseType="lpstr">
      <vt:lpstr>キッズ月間(昼・おやつ)  </vt:lpstr>
      <vt:lpstr>キッズ離乳食月間</vt:lpstr>
      <vt:lpstr>9月2日キッズ</vt:lpstr>
      <vt:lpstr>9月2日離乳食</vt:lpstr>
      <vt:lpstr>9月3日キッズ</vt:lpstr>
      <vt:lpstr>9月3日離乳食</vt:lpstr>
      <vt:lpstr>9月4日キッズ</vt:lpstr>
      <vt:lpstr>9月4日離乳食 </vt:lpstr>
      <vt:lpstr>9月5日キッズ</vt:lpstr>
      <vt:lpstr>9月5日離乳食</vt:lpstr>
      <vt:lpstr>9月6日キッズ</vt:lpstr>
      <vt:lpstr>9月6日離乳食</vt:lpstr>
      <vt:lpstr>9月9日キッズ</vt:lpstr>
      <vt:lpstr>9月9日離乳食</vt:lpstr>
      <vt:lpstr>9月10日キッズ</vt:lpstr>
      <vt:lpstr>9月10日離乳食</vt:lpstr>
      <vt:lpstr>9月11日キッズ</vt:lpstr>
      <vt:lpstr>9月11日離乳食</vt:lpstr>
      <vt:lpstr>9月12日キッズ</vt:lpstr>
      <vt:lpstr>9月12日離乳食</vt:lpstr>
      <vt:lpstr>9月13日キッズ </vt:lpstr>
      <vt:lpstr>9月13日離乳食</vt:lpstr>
      <vt:lpstr>9月17日キッズ</vt:lpstr>
      <vt:lpstr>9月17日離乳食</vt:lpstr>
      <vt:lpstr>9月18日キッズ</vt:lpstr>
      <vt:lpstr>9月18日離乳食</vt:lpstr>
      <vt:lpstr>9月19日キッズ</vt:lpstr>
      <vt:lpstr>9月19日離乳食</vt:lpstr>
      <vt:lpstr>9月20日キッズ</vt:lpstr>
      <vt:lpstr>9月20日離乳食</vt:lpstr>
      <vt:lpstr>9月24日キッズ</vt:lpstr>
      <vt:lpstr>9月24日離乳食 </vt:lpstr>
      <vt:lpstr>9月25日キッズ</vt:lpstr>
      <vt:lpstr>9月25日離乳食</vt:lpstr>
      <vt:lpstr>9月26日キッズ</vt:lpstr>
      <vt:lpstr>9月26日離乳食</vt:lpstr>
      <vt:lpstr>9月27日キッズ</vt:lpstr>
      <vt:lpstr>9月27日離乳食</vt:lpstr>
      <vt:lpstr>9月30日キッズ</vt:lpstr>
      <vt:lpstr>9月30日離乳食</vt:lpstr>
      <vt:lpstr>'キッズ月間(昼・おやつ)  '!Print_Area</vt:lpstr>
      <vt:lpstr>キッズ離乳食月間!Print_Area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2019-08-14T08:23:52Z</cp:lastPrinted>
  <dcterms:created xsi:type="dcterms:W3CDTF">2019-03-20T06:11:51Z</dcterms:created>
  <dcterms:modified xsi:type="dcterms:W3CDTF">2019-08-14T08:32:34Z</dcterms:modified>
</cp:coreProperties>
</file>